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COLLEEN\AFR &amp; Budgets- PERMANENT\25-26 Budget Info\State Forms\"/>
    </mc:Choice>
  </mc:AlternateContent>
  <xr:revisionPtr revIDLastSave="0" documentId="13_ncr:1_{2961348E-6BD4-43B2-8C6F-5DD362EA7638}" xr6:coauthVersionLast="47" xr6:coauthVersionMax="47" xr10:uidLastSave="{00000000-0000-0000-0000-000000000000}"/>
  <workbookProtection workbookAlgorithmName="SHA-512" workbookHashValue="K3GWYAobyEWMPY4Op6ekZTbXtV0fjHrUg5dJnlP36vffm3OOsmOx6VrzIdoLxuJxJVd8r3GICdF9+ezsKlwFaA==" workbookSaltValue="S6bdln0YQ0GxdUVuDEJR9A==" workbookSpinCount="100000" lockStructure="1"/>
  <bookViews>
    <workbookView xWindow="13125" yWindow="2715" windowWidth="15105" windowHeight="11385" xr2:uid="{00000000-000D-0000-FFFF-FFFF00000000}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Notice!$A$1:$L$136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Staff">Notice!$N$46</definedName>
    <definedName name="SPEDTeacher">Notice!$N$45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2" l="1"/>
  <c r="F67" i="2"/>
  <c r="F65" i="2"/>
  <c r="F54" i="2"/>
  <c r="F52" i="2"/>
  <c r="D67" i="2"/>
  <c r="D65" i="2"/>
  <c r="D54" i="2"/>
  <c r="D52" i="2"/>
  <c r="F80" i="2"/>
  <c r="D80" i="2"/>
  <c r="F78" i="2"/>
  <c r="D78" i="2"/>
  <c r="F77" i="2"/>
  <c r="D77" i="2"/>
  <c r="F76" i="2"/>
  <c r="D76" i="2"/>
  <c r="F75" i="2"/>
  <c r="D75" i="2"/>
  <c r="F73" i="2"/>
  <c r="D73" i="2"/>
  <c r="F72" i="2"/>
  <c r="D72" i="2"/>
  <c r="F71" i="2"/>
  <c r="D71" i="2"/>
  <c r="F70" i="2"/>
  <c r="D70" i="2"/>
  <c r="F69" i="2"/>
  <c r="D69" i="2"/>
  <c r="F63" i="2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I136" i="2"/>
  <c r="F136" i="2"/>
  <c r="E136" i="2"/>
  <c r="D136" i="2"/>
  <c r="I135" i="2"/>
  <c r="F135" i="2"/>
  <c r="E135" i="2"/>
  <c r="D135" i="2"/>
  <c r="I132" i="2"/>
  <c r="F132" i="2"/>
  <c r="E132" i="2"/>
  <c r="D132" i="2"/>
  <c r="I131" i="2"/>
  <c r="F131" i="2"/>
  <c r="E131" i="2"/>
  <c r="D131" i="2"/>
  <c r="I130" i="2"/>
  <c r="F130" i="2"/>
  <c r="E130" i="2"/>
  <c r="D130" i="2"/>
  <c r="I129" i="2"/>
  <c r="F129" i="2"/>
  <c r="E129" i="2"/>
  <c r="D129" i="2"/>
  <c r="I128" i="2"/>
  <c r="F128" i="2"/>
  <c r="E128" i="2"/>
  <c r="D128" i="2"/>
  <c r="I126" i="2"/>
  <c r="F126" i="2"/>
  <c r="E126" i="2"/>
  <c r="D126" i="2"/>
  <c r="I125" i="2"/>
  <c r="F125" i="2"/>
  <c r="E125" i="2"/>
  <c r="D125" i="2"/>
  <c r="I124" i="2"/>
  <c r="F124" i="2"/>
  <c r="E124" i="2"/>
  <c r="D124" i="2"/>
  <c r="I123" i="2"/>
  <c r="F123" i="2"/>
  <c r="E123" i="2"/>
  <c r="D123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H80" i="2"/>
  <c r="E80" i="2"/>
  <c r="H78" i="2"/>
  <c r="E78" i="2"/>
  <c r="H77" i="2"/>
  <c r="E77" i="2"/>
  <c r="H76" i="2"/>
  <c r="E76" i="2"/>
  <c r="H75" i="2"/>
  <c r="E75" i="2"/>
  <c r="H73" i="2"/>
  <c r="E73" i="2"/>
  <c r="H72" i="2"/>
  <c r="E72" i="2"/>
  <c r="H71" i="2"/>
  <c r="E71" i="2"/>
  <c r="H70" i="2"/>
  <c r="E70" i="2"/>
  <c r="H69" i="2"/>
  <c r="E69" i="2"/>
  <c r="H67" i="2"/>
  <c r="E67" i="2"/>
  <c r="H65" i="2"/>
  <c r="E65" i="2"/>
  <c r="H63" i="2"/>
  <c r="E63" i="2"/>
  <c r="H62" i="2"/>
  <c r="E62" i="2"/>
  <c r="H61" i="2"/>
  <c r="E61" i="2"/>
  <c r="H60" i="2"/>
  <c r="E60" i="2"/>
  <c r="H59" i="2"/>
  <c r="E59" i="2"/>
  <c r="H58" i="2"/>
  <c r="E58" i="2"/>
  <c r="H57" i="2"/>
  <c r="E57" i="2"/>
  <c r="H56" i="2"/>
  <c r="E56" i="2"/>
  <c r="H54" i="2"/>
  <c r="E54" i="2"/>
  <c r="H52" i="2"/>
  <c r="E52" i="2"/>
  <c r="E44" i="2"/>
  <c r="C44" i="2"/>
  <c r="E43" i="2"/>
  <c r="C43" i="2"/>
  <c r="E42" i="2"/>
  <c r="C42" i="2"/>
  <c r="E37" i="2"/>
  <c r="D37" i="2"/>
  <c r="F35" i="2"/>
  <c r="E34" i="2"/>
  <c r="D34" i="2"/>
  <c r="E32" i="2"/>
  <c r="D32" i="2"/>
  <c r="C32" i="2"/>
  <c r="K33" i="2"/>
  <c r="K32" i="2"/>
  <c r="K31" i="2"/>
  <c r="K30" i="2"/>
  <c r="K22" i="2"/>
  <c r="J1" i="2"/>
  <c r="C1" i="2"/>
  <c r="F106" i="2" l="1"/>
  <c r="E105" i="2"/>
  <c r="E104" i="2"/>
  <c r="F103" i="2"/>
  <c r="E101" i="2"/>
  <c r="F97" i="2"/>
  <c r="E95" i="2"/>
  <c r="E92" i="2"/>
  <c r="J80" i="2"/>
  <c r="I78" i="2"/>
  <c r="J75" i="2"/>
  <c r="I72" i="2"/>
  <c r="J70" i="2"/>
  <c r="I69" i="2"/>
  <c r="D74" i="2"/>
  <c r="H74" i="2"/>
  <c r="I61" i="2"/>
  <c r="I60" i="2"/>
  <c r="J57" i="2"/>
  <c r="D44" i="2" a="1"/>
  <c r="D44" i="2" s="1"/>
  <c r="D43" i="2" a="1"/>
  <c r="D43" i="2" s="1"/>
  <c r="D42" i="2" a="1"/>
  <c r="D42" i="2" s="1"/>
  <c r="D24" i="2"/>
  <c r="A3" i="2"/>
  <c r="K21" i="2"/>
  <c r="I77" i="2" l="1"/>
  <c r="J77" i="2"/>
  <c r="E93" i="2"/>
  <c r="F101" i="2"/>
  <c r="I62" i="2"/>
  <c r="I73" i="2"/>
  <c r="E94" i="2"/>
  <c r="I58" i="2"/>
  <c r="J78" i="2"/>
  <c r="K78" i="2" s="1"/>
  <c r="I54" i="2"/>
  <c r="I59" i="2"/>
  <c r="J54" i="2"/>
  <c r="I75" i="2"/>
  <c r="I80" i="2"/>
  <c r="K80" i="2" s="1"/>
  <c r="E97" i="2"/>
  <c r="J63" i="2"/>
  <c r="J56" i="2"/>
  <c r="J60" i="2"/>
  <c r="K60" i="2" s="1"/>
  <c r="I65" i="2"/>
  <c r="I71" i="2"/>
  <c r="F98" i="2"/>
  <c r="J71" i="2"/>
  <c r="J76" i="2"/>
  <c r="F99" i="2"/>
  <c r="E91" i="2"/>
  <c r="F100" i="2"/>
  <c r="I57" i="2"/>
  <c r="K57" i="2" s="1"/>
  <c r="J61" i="2"/>
  <c r="K61" i="2" s="1"/>
  <c r="J69" i="2"/>
  <c r="K69" i="2" s="1"/>
  <c r="E96" i="2"/>
  <c r="F96" i="2" s="1"/>
  <c r="E99" i="2"/>
  <c r="F102" i="2"/>
  <c r="E106" i="2"/>
  <c r="E64" i="2"/>
  <c r="I56" i="2"/>
  <c r="K56" i="2" s="1"/>
  <c r="J67" i="2"/>
  <c r="I70" i="2"/>
  <c r="K70" i="2" s="1"/>
  <c r="J73" i="2"/>
  <c r="I76" i="2"/>
  <c r="K76" i="2" s="1"/>
  <c r="F93" i="2"/>
  <c r="E100" i="2"/>
  <c r="E103" i="2"/>
  <c r="J59" i="2"/>
  <c r="I63" i="2"/>
  <c r="F64" i="2"/>
  <c r="F91" i="2"/>
  <c r="F94" i="2"/>
  <c r="F104" i="2"/>
  <c r="D64" i="2"/>
  <c r="D81" i="2" s="1"/>
  <c r="D83" i="2" s="1"/>
  <c r="H64" i="2"/>
  <c r="H81" i="2" s="1"/>
  <c r="H83" i="2" s="1"/>
  <c r="J62" i="2"/>
  <c r="I52" i="2"/>
  <c r="J58" i="2"/>
  <c r="J65" i="2"/>
  <c r="K65" i="2" s="1"/>
  <c r="J72" i="2"/>
  <c r="F92" i="2"/>
  <c r="F95" i="2"/>
  <c r="F105" i="2"/>
  <c r="F74" i="2"/>
  <c r="K75" i="2"/>
  <c r="K77" i="2"/>
  <c r="A21" i="2"/>
  <c r="J52" i="2"/>
  <c r="A24" i="2"/>
  <c r="I67" i="2"/>
  <c r="E74" i="2"/>
  <c r="E81" i="2" s="1"/>
  <c r="E83" i="2" s="1"/>
  <c r="E98" i="2"/>
  <c r="E102" i="2"/>
  <c r="K71" i="2" l="1"/>
  <c r="K54" i="2"/>
  <c r="K59" i="2"/>
  <c r="F81" i="2"/>
  <c r="F83" i="2" s="1"/>
  <c r="K67" i="2"/>
  <c r="K73" i="2"/>
  <c r="I64" i="2"/>
  <c r="K58" i="2"/>
  <c r="J64" i="2"/>
  <c r="K63" i="2"/>
  <c r="J74" i="2"/>
  <c r="K62" i="2"/>
  <c r="J81" i="2"/>
  <c r="K72" i="2"/>
  <c r="I74" i="2"/>
  <c r="K74" i="2" s="1"/>
  <c r="K52" i="2"/>
  <c r="I81" i="2" l="1"/>
  <c r="I83" i="2" s="1"/>
  <c r="K64" i="2"/>
  <c r="J83" i="2"/>
  <c r="K81" i="2" l="1"/>
  <c r="K83" i="2"/>
</calcChain>
</file>

<file path=xl/sharedStrings.xml><?xml version="1.0" encoding="utf-8"?>
<sst xmlns="http://schemas.openxmlformats.org/spreadsheetml/2006/main" count="190" uniqueCount="151">
  <si>
    <t>AZ</t>
  </si>
  <si>
    <t>A copy of the agenda of the matters to be discussed or decided at the meeting may be obtained by contacting:</t>
  </si>
  <si>
    <t>Meeting Date:</t>
  </si>
  <si>
    <t>Time:</t>
  </si>
  <si>
    <t>Street Address:</t>
  </si>
  <si>
    <t>Bldg:</t>
  </si>
  <si>
    <t>City:</t>
  </si>
  <si>
    <t>Rm/Ste:</t>
  </si>
  <si>
    <t>State:</t>
  </si>
  <si>
    <t>Zip:</t>
  </si>
  <si>
    <t>Contact Name:</t>
  </si>
  <si>
    <t>Email Address:</t>
  </si>
  <si>
    <t>Phone:</t>
  </si>
  <si>
    <t>Phone Ext:</t>
  </si>
  <si>
    <t>Comments:</t>
  </si>
  <si>
    <t>Location:</t>
  </si>
  <si>
    <t>CTDS:</t>
  </si>
  <si>
    <t>District:</t>
  </si>
  <si>
    <t>The information above is posted on ADE's Web site pursuant to A.R.S. §15-905(C) and is not intended to satisfy Open Meeting Law requirements under A.R.S. §38-431.02 et seq.</t>
  </si>
  <si>
    <t>CTDS NUMBER</t>
  </si>
  <si>
    <t>VERSION</t>
  </si>
  <si>
    <t>I certify that the Budget of</t>
  </si>
  <si>
    <t xml:space="preserve">District, </t>
  </si>
  <si>
    <t>revised by the Governing Board on</t>
  </si>
  <si>
    <t>during normal business hours.</t>
  </si>
  <si>
    <t>President of the Governing Board</t>
  </si>
  <si>
    <t>1.  Average Daily Membership:</t>
  </si>
  <si>
    <t>2.  Tax Rates:</t>
  </si>
  <si>
    <t>Prior Yr.</t>
  </si>
  <si>
    <t>Budget Yr.</t>
  </si>
  <si>
    <t>Attending</t>
  </si>
  <si>
    <t>Budget FY</t>
  </si>
  <si>
    <t>MAINTENANCE AND OPERATION EXPENDITURES</t>
  </si>
  <si>
    <t xml:space="preserve"> </t>
  </si>
  <si>
    <t>% Inc./(Decr.)</t>
  </si>
  <si>
    <t>Salaries and Benefits</t>
  </si>
  <si>
    <t>Other</t>
  </si>
  <si>
    <t>TOTAL</t>
  </si>
  <si>
    <t>from</t>
  </si>
  <si>
    <t>Prior FY</t>
  </si>
  <si>
    <t>100 Regular Education</t>
  </si>
  <si>
    <t xml:space="preserve">   1000 Instruction</t>
  </si>
  <si>
    <t xml:space="preserve">   2000 Support Services</t>
  </si>
  <si>
    <t xml:space="preserve">      2100 Students</t>
  </si>
  <si>
    <t xml:space="preserve">      2200 Instructional Staff</t>
  </si>
  <si>
    <t xml:space="preserve">      2300, 2400, 2500 Administration</t>
  </si>
  <si>
    <t xml:space="preserve">      2600 Oper./Maint. of Plant</t>
  </si>
  <si>
    <t xml:space="preserve">      2900 Other </t>
  </si>
  <si>
    <t xml:space="preserve">   3000 Oper. of Noninstructional Services</t>
  </si>
  <si>
    <t>610 School-Sponsored Cocurric. Activities</t>
  </si>
  <si>
    <t>620 School-Sponsored Athletics</t>
  </si>
  <si>
    <t>630, 700, 800, 900 Other Programs</t>
  </si>
  <si>
    <t xml:space="preserve">   Regular Education Subsection Subtotal </t>
  </si>
  <si>
    <t>200 and 300 Special Education</t>
  </si>
  <si>
    <t xml:space="preserve">   Special Education Subsection Subtotal </t>
  </si>
  <si>
    <t>400 Pupil Transportation</t>
  </si>
  <si>
    <t>510 Desegregation</t>
  </si>
  <si>
    <t>530 Dropout Prevention Programs</t>
  </si>
  <si>
    <t>540 Joint Career and Technical Education</t>
  </si>
  <si>
    <t xml:space="preserve">       and Vocational Education Center</t>
  </si>
  <si>
    <t>550 K-3 Reading Program</t>
  </si>
  <si>
    <t>TOTAL EXPENDITURES BY FUND</t>
  </si>
  <si>
    <t>$ Increase/</t>
  </si>
  <si>
    <t>% Increase/</t>
  </si>
  <si>
    <t>Budgeted Expenditures</t>
  </si>
  <si>
    <t>(Decrease)</t>
  </si>
  <si>
    <t>Fund</t>
  </si>
  <si>
    <t xml:space="preserve"> Prior FY</t>
  </si>
  <si>
    <t>Maintenance &amp; Operation</t>
  </si>
  <si>
    <t>Instructional Improvement</t>
  </si>
  <si>
    <t>Compensatory Instruction</t>
  </si>
  <si>
    <t>Classroom Site</t>
  </si>
  <si>
    <t>Federal Projects</t>
  </si>
  <si>
    <t>State Projects</t>
  </si>
  <si>
    <t>Unrestricted Capital Outlay</t>
  </si>
  <si>
    <t>New School Facilities</t>
  </si>
  <si>
    <t>Adjacent Ways</t>
  </si>
  <si>
    <t>Debt Service</t>
  </si>
  <si>
    <t>School Plant Fund</t>
  </si>
  <si>
    <t>Auxiliary Operations</t>
  </si>
  <si>
    <t>Bond Building</t>
  </si>
  <si>
    <t>Food Service</t>
  </si>
  <si>
    <t>M&amp;O FUND SPECIAL EDUCATION PROGRAMS BY TYPE</t>
  </si>
  <si>
    <t>PROPOSED STAFFING SUMMARY</t>
  </si>
  <si>
    <r>
      <t>Program (A.R.S. §§15-761</t>
    </r>
    <r>
      <rPr>
        <b/>
        <sz val="8"/>
        <rFont val="Times New Roman"/>
        <family val="1"/>
      </rPr>
      <t xml:space="preserve"> and 15-903)</t>
    </r>
  </si>
  <si>
    <t>Total All Disability Classifications</t>
  </si>
  <si>
    <t>Staff Type</t>
  </si>
  <si>
    <t>Gifted Education</t>
  </si>
  <si>
    <t>Certified --</t>
  </si>
  <si>
    <t>Remedial Education</t>
  </si>
  <si>
    <t>1  to</t>
  </si>
  <si>
    <t>ELL Incremental Costs</t>
  </si>
  <si>
    <t>ELL Compensatory Instruction</t>
  </si>
  <si>
    <t>Teachers</t>
  </si>
  <si>
    <t>Classified --</t>
  </si>
  <si>
    <t xml:space="preserve">             TOTAL</t>
  </si>
  <si>
    <t>Managers, Supervisors, Directors</t>
  </si>
  <si>
    <t>Teachers Aides</t>
  </si>
  <si>
    <t>Special Education --</t>
  </si>
  <si>
    <t>Teacher</t>
  </si>
  <si>
    <t xml:space="preserve">1 to </t>
  </si>
  <si>
    <t>Staff</t>
  </si>
  <si>
    <t>3. Increase in average teacher salary from the prior year</t>
  </si>
  <si>
    <t xml:space="preserve">4. Percentage increase </t>
  </si>
  <si>
    <t>Est. Budget FY</t>
  </si>
  <si>
    <r>
      <t xml:space="preserve">Primary Rate </t>
    </r>
    <r>
      <rPr>
        <sz val="8"/>
        <color indexed="8"/>
        <rFont val="Times New Roman"/>
        <family val="1"/>
      </rPr>
      <t>(equalization formula funding and budget add-ons not required to be in secondary rate)</t>
    </r>
  </si>
  <si>
    <t>Maintenance &amp; Operation Fund</t>
  </si>
  <si>
    <t>Classroom Site Fund</t>
  </si>
  <si>
    <t>Unrestricted Capital Outlay Fund</t>
  </si>
  <si>
    <t>Budgeted</t>
  </si>
  <si>
    <t>Expenditures</t>
  </si>
  <si>
    <t xml:space="preserve">3.  Budgeted expenditures and budget limits  </t>
  </si>
  <si>
    <t>proposed by the Governing Board on</t>
  </si>
  <si>
    <t xml:space="preserve">   at the District Office, telephone</t>
  </si>
  <si>
    <r>
      <rPr>
        <b/>
        <sz val="8"/>
        <rFont val="Times New Roman"/>
        <family val="1"/>
      </rPr>
      <t>Secondary Rate</t>
    </r>
    <r>
      <rPr>
        <sz val="8"/>
        <rFont val="Times New Roman"/>
        <family val="1"/>
      </rPr>
      <t xml:space="preserve"> (voter-approved overrides, bonds, and Career Technical Education Districts, and desegregation, if applicable)</t>
    </r>
  </si>
  <si>
    <t xml:space="preserve"> SUMMARY OF SCHOOL DISTRICT REVISED EXPENDITURE BUDGET</t>
  </si>
  <si>
    <t xml:space="preserve"> SUMMARY OF SCHOOL DISTRICT PROPOSED EXPENDITURE BUDGET</t>
  </si>
  <si>
    <t>Budget Limit</t>
  </si>
  <si>
    <t>Vocational and Technical Education (non-CTED)</t>
  </si>
  <si>
    <t>Career Technical Education (CTED)</t>
  </si>
  <si>
    <t>Career Education (non-CTED)</t>
  </si>
  <si>
    <t>Staff-Pupil Ratio</t>
  </si>
  <si>
    <t>Employee FTE</t>
  </si>
  <si>
    <t>Total FTE</t>
  </si>
  <si>
    <t>Superintendent, Principals, Other Administrators</t>
  </si>
  <si>
    <t>English Language Learners</t>
  </si>
  <si>
    <t>4. Average Teacher Salaries (A.R.S. §15-903.E)</t>
  </si>
  <si>
    <t xml:space="preserve">        Subtotal</t>
  </si>
  <si>
    <t xml:space="preserve">                            TOTAL</t>
  </si>
  <si>
    <t>Purchased Services Personnel FTE</t>
  </si>
  <si>
    <t>2024 ADM</t>
  </si>
  <si>
    <t>2025 ADM</t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</si>
  <si>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revise</t>
    </r>
    <r>
      <rPr>
        <sz val="10"/>
        <color theme="0"/>
        <rFont val="Arial"/>
        <family val="2"/>
      </rPr>
      <t xml:space="preserve"> its Fiscal Year 2026 Expenditure Budget, as required by A.R.S. §15-905(E)(1).</t>
    </r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</si>
  <si>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adopt</t>
    </r>
    <r>
      <rPr>
        <sz val="10"/>
        <color theme="0"/>
        <rFont val="Arial"/>
        <family val="2"/>
      </rPr>
      <t xml:space="preserve"> its Fiscal Year 2026 Expenditure Budget.</t>
    </r>
  </si>
  <si>
    <t>County for fiscal year 2026 was officially</t>
  </si>
  <si>
    <t>, 2025, and that the complete Revised Expenditure Budget may be reviewed by contacting</t>
  </si>
  <si>
    <t>, 2025, and that the complete Proposed Expenditure Budget may be reviewed by contacting</t>
  </si>
  <si>
    <t>2026 ADM</t>
  </si>
  <si>
    <t>1. Average salary of all teachers employed in FY 2026 (budget year)</t>
  </si>
  <si>
    <t>2. Average salary of all teachers employed in FY 2025 (prior year)</t>
  </si>
  <si>
    <t>Carryforward</t>
  </si>
  <si>
    <t>Maintained for spending after FY 2026 (Planned carryforward)</t>
  </si>
  <si>
    <t>TOTAL BUDGET LIMIT EXPENDITURES</t>
  </si>
  <si>
    <t>1226 W Osborn Road</t>
  </si>
  <si>
    <t>Phoenix</t>
  </si>
  <si>
    <t>Lisa Nye</t>
  </si>
  <si>
    <t>602-707-2002</t>
  </si>
  <si>
    <t>lnye@osbornsd.org</t>
  </si>
  <si>
    <t>Osborn School District</t>
  </si>
  <si>
    <t>Maricopa</t>
  </si>
  <si>
    <t>June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</si>
</sst>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,##0.000_);[Red]\(#,##0.000\)"/>
    <numFmt numFmtId="166" formatCode="#,##0.0000_);[Red]\(#,##0.0000\)"/>
    <numFmt numFmtId="167" formatCode="0.0%"/>
    <numFmt numFmtId="168" formatCode="#,##0.0_);\(#,##0.0\)"/>
  </numFmts>
  <fonts count="22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9"/>
      <name val="Arial MT"/>
      <family val="2"/>
    </font>
    <font>
      <sz val="12"/>
      <name val="Arial"/>
      <family val="2"/>
    </font>
    <font>
      <b/>
      <vertAlign val="superscript"/>
      <sz val="8"/>
      <color indexed="8"/>
      <name val="Times New Roman"/>
      <family val="1"/>
    </font>
    <font>
      <sz val="9"/>
      <name val="Times New Roman"/>
      <family val="1"/>
    </font>
    <font>
      <b/>
      <sz val="20"/>
      <color rgb="FFC00000"/>
      <name val="Times New Roman"/>
      <family val="1"/>
    </font>
    <font>
      <sz val="10"/>
      <color theme="0"/>
      <name val="Arial"/>
      <family val="2"/>
    </font>
    <font>
      <b/>
      <sz val="22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</borders>
  <cellStyleXfs count="11">
    <xf numFmtId="0" fontId="0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21" fillId="0" borderId="0"/>
    <xf numFmtId="0" fontId="9" fillId="2" borderId="0"/>
    <xf numFmtId="0" fontId="3" fillId="2" borderId="0"/>
    <xf numFmtId="0" fontId="3" fillId="2" borderId="0"/>
  </cellStyleXfs>
  <cellXfs count="325">
    <xf numFmtId="0" fontId="0" fillId="0" borderId="0" xfId="0"/>
    <xf numFmtId="37" fontId="4" fillId="0" borderId="27" xfId="10" applyNumberFormat="1" applyFont="1" applyFill="1" applyBorder="1" applyAlignment="1">
      <alignment horizontal="center"/>
    </xf>
    <xf numFmtId="0" fontId="21" fillId="0" borderId="0" xfId="7" applyAlignment="1">
      <alignment horizontal="left"/>
    </xf>
    <xf numFmtId="0" fontId="21" fillId="0" borderId="0" xfId="7" applyAlignment="1">
      <alignment vertical="top" wrapText="1"/>
    </xf>
    <xf numFmtId="0" fontId="6" fillId="0" borderId="0" xfId="7" applyFont="1"/>
    <xf numFmtId="0" fontId="21" fillId="0" borderId="1" xfId="7" applyBorder="1" applyAlignment="1" applyProtection="1">
      <alignment horizontal="center"/>
      <protection locked="0"/>
    </xf>
    <xf numFmtId="49" fontId="6" fillId="0" borderId="2" xfId="7" applyNumberFormat="1" applyFont="1" applyBorder="1" applyAlignment="1" applyProtection="1">
      <alignment horizontal="center"/>
      <protection locked="0"/>
    </xf>
    <xf numFmtId="0" fontId="6" fillId="0" borderId="2" xfId="7" applyFont="1" applyBorder="1" applyProtection="1">
      <protection locked="0"/>
    </xf>
    <xf numFmtId="0" fontId="21" fillId="0" borderId="0" xfId="7" applyAlignment="1">
      <alignment horizontal="right"/>
    </xf>
    <xf numFmtId="49" fontId="21" fillId="0" borderId="2" xfId="7" applyNumberFormat="1" applyBorder="1"/>
    <xf numFmtId="0" fontId="21" fillId="0" borderId="0" xfId="7"/>
    <xf numFmtId="49" fontId="0" fillId="2" borderId="3" xfId="9" applyNumberFormat="1" applyFont="1" applyBorder="1" applyAlignment="1">
      <alignment horizontal="center"/>
    </xf>
    <xf numFmtId="49" fontId="0" fillId="2" borderId="0" xfId="9" applyNumberFormat="1" applyFont="1" applyAlignment="1">
      <alignment horizontal="center"/>
    </xf>
    <xf numFmtId="0" fontId="2" fillId="0" borderId="0" xfId="7" applyFont="1" applyAlignment="1">
      <alignment wrapText="1"/>
    </xf>
    <xf numFmtId="0" fontId="14" fillId="0" borderId="0" xfId="7" applyFo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1" fillId="0" borderId="0" xfId="7" applyAlignment="1">
      <alignment horizontal="center"/>
    </xf>
    <xf numFmtId="0" fontId="2" fillId="0" borderId="0" xfId="7" applyFont="1"/>
    <xf numFmtId="164" fontId="21" fillId="0" borderId="0" xfId="7" applyNumberFormat="1" applyAlignment="1">
      <alignment horizontal="center"/>
    </xf>
    <xf numFmtId="0" fontId="21" fillId="0" borderId="1" xfId="7" applyBorder="1" applyAlignment="1">
      <alignment horizontal="center"/>
    </xf>
    <xf numFmtId="0" fontId="16" fillId="0" borderId="0" xfId="7" applyFont="1"/>
    <xf numFmtId="37" fontId="4" fillId="2" borderId="0" xfId="9" applyNumberFormat="1" applyFont="1" applyAlignment="1">
      <alignment horizontal="right"/>
    </xf>
    <xf numFmtId="0" fontId="3" fillId="2" borderId="0" xfId="9"/>
    <xf numFmtId="0" fontId="21" fillId="0" borderId="0" xfId="7" applyAlignment="1">
      <alignment wrapText="1"/>
    </xf>
    <xf numFmtId="0" fontId="6" fillId="0" borderId="0" xfId="7" applyFont="1" applyAlignment="1">
      <alignment horizontal="right" wrapText="1"/>
    </xf>
    <xf numFmtId="0" fontId="6" fillId="2" borderId="0" xfId="9" applyFont="1" applyAlignment="1">
      <alignment horizontal="left"/>
    </xf>
    <xf numFmtId="0" fontId="6" fillId="2" borderId="0" xfId="9" applyFont="1" applyAlignment="1">
      <alignment horizontal="center"/>
    </xf>
    <xf numFmtId="0" fontId="6" fillId="0" borderId="0" xfId="9" applyFont="1" applyFill="1"/>
    <xf numFmtId="0" fontId="5" fillId="2" borderId="0" xfId="9" applyFont="1"/>
    <xf numFmtId="37" fontId="7" fillId="2" borderId="0" xfId="9" applyNumberFormat="1" applyFont="1"/>
    <xf numFmtId="0" fontId="17" fillId="0" borderId="0" xfId="7" applyFont="1"/>
    <xf numFmtId="37" fontId="4" fillId="2" borderId="0" xfId="9" applyNumberFormat="1" applyFont="1"/>
    <xf numFmtId="0" fontId="8" fillId="3" borderId="4" xfId="6" applyNumberFormat="1" applyFont="1" applyFill="1" applyBorder="1" applyProtection="1"/>
    <xf numFmtId="0" fontId="8" fillId="3" borderId="5" xfId="6" applyNumberFormat="1" applyFont="1" applyFill="1" applyBorder="1" applyProtection="1"/>
    <xf numFmtId="0" fontId="3" fillId="0" borderId="6" xfId="9" applyFill="1" applyBorder="1"/>
    <xf numFmtId="37" fontId="4" fillId="0" borderId="6" xfId="9" applyNumberFormat="1" applyFont="1" applyFill="1" applyBorder="1" applyAlignment="1">
      <alignment horizontal="center" vertical="center"/>
    </xf>
    <xf numFmtId="37" fontId="4" fillId="0" borderId="4" xfId="9" applyNumberFormat="1" applyFont="1" applyFill="1" applyBorder="1" applyAlignment="1">
      <alignment horizontal="left"/>
    </xf>
    <xf numFmtId="37" fontId="4" fillId="0" borderId="5" xfId="9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37" fontId="18" fillId="0" borderId="7" xfId="9" applyNumberFormat="1" applyFont="1" applyFill="1" applyBorder="1" applyAlignment="1">
      <alignment vertical="top" wrapText="1"/>
    </xf>
    <xf numFmtId="37" fontId="4" fillId="2" borderId="8" xfId="9" applyNumberFormat="1" applyFont="1" applyBorder="1"/>
    <xf numFmtId="37" fontId="7" fillId="0" borderId="0" xfId="9" applyNumberFormat="1" applyFont="1" applyFill="1" applyAlignment="1">
      <alignment horizontal="left"/>
    </xf>
    <xf numFmtId="0" fontId="3" fillId="0" borderId="0" xfId="9" applyFill="1"/>
    <xf numFmtId="0" fontId="5" fillId="0" borderId="0" xfId="0" applyFont="1" applyAlignment="1">
      <alignment horizontal="right"/>
    </xf>
    <xf numFmtId="37" fontId="4" fillId="2" borderId="9" xfId="9" applyNumberFormat="1" applyFont="1" applyBorder="1" applyAlignment="1">
      <alignment horizontal="center" vertical="center"/>
    </xf>
    <xf numFmtId="165" fontId="7" fillId="0" borderId="10" xfId="9" applyNumberFormat="1" applyFont="1" applyFill="1" applyBorder="1"/>
    <xf numFmtId="0" fontId="5" fillId="2" borderId="11" xfId="9" applyFont="1" applyBorder="1"/>
    <xf numFmtId="37" fontId="4" fillId="2" borderId="12" xfId="9" applyNumberFormat="1" applyFont="1" applyBorder="1" applyAlignment="1">
      <alignment horizontal="center" vertical="center"/>
    </xf>
    <xf numFmtId="165" fontId="5" fillId="0" borderId="13" xfId="7" applyNumberFormat="1" applyFont="1" applyBorder="1"/>
    <xf numFmtId="165" fontId="5" fillId="0" borderId="14" xfId="7" applyNumberFormat="1" applyFont="1" applyBorder="1"/>
    <xf numFmtId="37" fontId="7" fillId="0" borderId="8" xfId="9" applyNumberFormat="1" applyFont="1" applyFill="1" applyBorder="1" applyAlignment="1">
      <alignment horizontal="left"/>
    </xf>
    <xf numFmtId="37" fontId="4" fillId="2" borderId="11" xfId="9" applyNumberFormat="1" applyFont="1" applyBorder="1"/>
    <xf numFmtId="37" fontId="4" fillId="2" borderId="6" xfId="9" applyNumberFormat="1" applyFont="1" applyBorder="1"/>
    <xf numFmtId="0" fontId="6" fillId="2" borderId="5" xfId="9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7" applyFont="1"/>
    <xf numFmtId="0" fontId="5" fillId="0" borderId="9" xfId="7" applyFont="1" applyBorder="1"/>
    <xf numFmtId="37" fontId="19" fillId="0" borderId="0" xfId="9" applyNumberFormat="1" applyFont="1" applyFill="1" applyAlignment="1">
      <alignment vertical="top" wrapText="1"/>
    </xf>
    <xf numFmtId="37" fontId="15" fillId="0" borderId="0" xfId="9" applyNumberFormat="1" applyFont="1" applyFill="1" applyAlignment="1">
      <alignment vertical="top" wrapText="1"/>
    </xf>
    <xf numFmtId="37" fontId="4" fillId="0" borderId="0" xfId="9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38" fontId="5" fillId="0" borderId="0" xfId="0" applyNumberFormat="1" applyFont="1"/>
    <xf numFmtId="37" fontId="4" fillId="2" borderId="11" xfId="9" applyNumberFormat="1" applyFont="1" applyBorder="1" applyAlignment="1">
      <alignment horizontal="left"/>
    </xf>
    <xf numFmtId="37" fontId="4" fillId="2" borderId="0" xfId="9" applyNumberFormat="1" applyFont="1" applyAlignment="1">
      <alignment horizontal="left"/>
    </xf>
    <xf numFmtId="0" fontId="6" fillId="2" borderId="6" xfId="9" applyFont="1" applyBorder="1" applyAlignment="1">
      <alignment horizontal="center"/>
    </xf>
    <xf numFmtId="0" fontId="6" fillId="2" borderId="15" xfId="9" applyFont="1" applyBorder="1" applyAlignment="1">
      <alignment horizontal="center"/>
    </xf>
    <xf numFmtId="9" fontId="5" fillId="0" borderId="0" xfId="1" applyFont="1" applyFill="1" applyBorder="1" applyProtection="1"/>
    <xf numFmtId="0" fontId="21" fillId="0" borderId="8" xfId="7" applyBorder="1"/>
    <xf numFmtId="0" fontId="6" fillId="2" borderId="16" xfId="9" applyFont="1" applyBorder="1" applyAlignment="1">
      <alignment horizontal="center"/>
    </xf>
    <xf numFmtId="37" fontId="4" fillId="2" borderId="8" xfId="9" applyNumberFormat="1" applyFont="1" applyBorder="1" applyAlignment="1">
      <alignment horizontal="left"/>
    </xf>
    <xf numFmtId="37" fontId="7" fillId="2" borderId="11" xfId="9" applyNumberFormat="1" applyFont="1" applyBorder="1"/>
    <xf numFmtId="37" fontId="7" fillId="2" borderId="17" xfId="9" applyNumberFormat="1" applyFont="1" applyBorder="1"/>
    <xf numFmtId="37" fontId="5" fillId="2" borderId="18" xfId="10" applyNumberFormat="1" applyFont="1" applyBorder="1"/>
    <xf numFmtId="37" fontId="7" fillId="2" borderId="19" xfId="9" applyNumberFormat="1" applyFont="1" applyBorder="1"/>
    <xf numFmtId="37" fontId="4" fillId="2" borderId="20" xfId="9" applyNumberFormat="1" applyFont="1" applyBorder="1" applyAlignment="1">
      <alignment horizontal="left"/>
    </xf>
    <xf numFmtId="37" fontId="4" fillId="2" borderId="2" xfId="9" applyNumberFormat="1" applyFont="1" applyBorder="1" applyAlignment="1">
      <alignment horizontal="left"/>
    </xf>
    <xf numFmtId="0" fontId="21" fillId="0" borderId="2" xfId="7" applyBorder="1"/>
    <xf numFmtId="37" fontId="7" fillId="2" borderId="21" xfId="9" applyNumberFormat="1" applyFont="1" applyBorder="1"/>
    <xf numFmtId="37" fontId="7" fillId="2" borderId="22" xfId="9" applyNumberFormat="1" applyFont="1" applyBorder="1"/>
    <xf numFmtId="0" fontId="10" fillId="0" borderId="0" xfId="7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37" fontId="4" fillId="2" borderId="4" xfId="9" applyNumberFormat="1" applyFont="1" applyBorder="1" applyAlignment="1">
      <alignment horizontal="centerContinuous"/>
    </xf>
    <xf numFmtId="37" fontId="4" fillId="2" borderId="5" xfId="9" applyNumberFormat="1" applyFont="1" applyBorder="1" applyAlignment="1">
      <alignment horizontal="centerContinuous"/>
    </xf>
    <xf numFmtId="0" fontId="5" fillId="2" borderId="5" xfId="9" applyFont="1" applyBorder="1" applyAlignment="1">
      <alignment horizontal="centerContinuous"/>
    </xf>
    <xf numFmtId="37" fontId="4" fillId="2" borderId="23" xfId="9" applyNumberFormat="1" applyFont="1" applyBorder="1" applyAlignment="1">
      <alignment horizontal="centerContinuous"/>
    </xf>
    <xf numFmtId="37" fontId="4" fillId="2" borderId="24" xfId="9" applyNumberFormat="1" applyFont="1" applyBorder="1" applyAlignment="1">
      <alignment horizontal="centerContinuous"/>
    </xf>
    <xf numFmtId="37" fontId="4" fillId="2" borderId="25" xfId="9" applyNumberFormat="1" applyFont="1" applyBorder="1"/>
    <xf numFmtId="37" fontId="4" fillId="2" borderId="9" xfId="9" applyNumberFormat="1" applyFont="1" applyBorder="1"/>
    <xf numFmtId="37" fontId="4" fillId="2" borderId="7" xfId="9" applyNumberFormat="1" applyFont="1" applyBorder="1"/>
    <xf numFmtId="37" fontId="4" fillId="2" borderId="7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Continuous"/>
    </xf>
    <xf numFmtId="37" fontId="4" fillId="2" borderId="12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Continuous"/>
    </xf>
    <xf numFmtId="37" fontId="4" fillId="2" borderId="0" xfId="9" applyNumberFormat="1" applyFont="1" applyAlignment="1">
      <alignment horizontal="centerContinuous"/>
    </xf>
    <xf numFmtId="37" fontId="4" fillId="2" borderId="8" xfId="9" applyNumberFormat="1" applyFont="1" applyBorder="1" applyAlignment="1">
      <alignment horizontal="center"/>
    </xf>
    <xf numFmtId="37" fontId="4" fillId="2" borderId="26" xfId="9" applyNumberFormat="1" applyFont="1" applyBorder="1" applyAlignment="1">
      <alignment horizontal="center"/>
    </xf>
    <xf numFmtId="37" fontId="4" fillId="2" borderId="13" xfId="9" applyNumberFormat="1" applyFont="1" applyBorder="1"/>
    <xf numFmtId="37" fontId="4" fillId="2" borderId="14" xfId="9" applyNumberFormat="1" applyFont="1" applyBorder="1"/>
    <xf numFmtId="37" fontId="4" fillId="2" borderId="14" xfId="9" applyNumberFormat="1" applyFont="1" applyBorder="1" applyAlignment="1">
      <alignment horizontal="center"/>
    </xf>
    <xf numFmtId="0" fontId="6" fillId="2" borderId="25" xfId="8" applyFont="1" applyBorder="1"/>
    <xf numFmtId="0" fontId="6" fillId="2" borderId="0" xfId="8" applyFont="1"/>
    <xf numFmtId="0" fontId="6" fillId="0" borderId="25" xfId="8" applyFont="1" applyFill="1" applyBorder="1"/>
    <xf numFmtId="0" fontId="6" fillId="0" borderId="0" xfId="8" applyFont="1" applyFill="1"/>
    <xf numFmtId="37" fontId="7" fillId="2" borderId="27" xfId="9" applyNumberFormat="1" applyFont="1" applyBorder="1"/>
    <xf numFmtId="37" fontId="7" fillId="2" borderId="13" xfId="9" applyNumberFormat="1" applyFont="1" applyBorder="1"/>
    <xf numFmtId="37" fontId="7" fillId="2" borderId="28" xfId="9" applyNumberFormat="1" applyFont="1" applyBorder="1"/>
    <xf numFmtId="37" fontId="4" fillId="0" borderId="0" xfId="9" applyNumberFormat="1" applyFont="1" applyFill="1"/>
    <xf numFmtId="37" fontId="7" fillId="0" borderId="13" xfId="9" applyNumberFormat="1" applyFont="1" applyFill="1" applyBorder="1"/>
    <xf numFmtId="37" fontId="7" fillId="0" borderId="28" xfId="9" applyNumberFormat="1" applyFont="1" applyFill="1" applyBorder="1"/>
    <xf numFmtId="37" fontId="7" fillId="0" borderId="27" xfId="9" applyNumberFormat="1" applyFont="1" applyFill="1" applyBorder="1"/>
    <xf numFmtId="0" fontId="6" fillId="2" borderId="25" xfId="8" applyFont="1" applyBorder="1" applyAlignment="1">
      <alignment horizontal="left"/>
    </xf>
    <xf numFmtId="0" fontId="6" fillId="2" borderId="0" xfId="8" applyFont="1" applyAlignment="1">
      <alignment horizontal="left"/>
    </xf>
    <xf numFmtId="37" fontId="5" fillId="2" borderId="27" xfId="9" applyNumberFormat="1" applyFont="1" applyBorder="1"/>
    <xf numFmtId="0" fontId="6" fillId="2" borderId="25" xfId="9" applyFont="1" applyBorder="1"/>
    <xf numFmtId="0" fontId="6" fillId="2" borderId="0" xfId="9" applyFont="1"/>
    <xf numFmtId="0" fontId="6" fillId="0" borderId="25" xfId="9" applyFont="1" applyFill="1" applyBorder="1"/>
    <xf numFmtId="37" fontId="5" fillId="0" borderId="27" xfId="9" applyNumberFormat="1" applyFont="1" applyFill="1" applyBorder="1"/>
    <xf numFmtId="0" fontId="21" fillId="0" borderId="9" xfId="7" applyBorder="1"/>
    <xf numFmtId="37" fontId="5" fillId="0" borderId="13" xfId="9" applyNumberFormat="1" applyFont="1" applyFill="1" applyBorder="1"/>
    <xf numFmtId="37" fontId="4" fillId="2" borderId="29" xfId="9" applyNumberFormat="1" applyFont="1" applyBorder="1" applyAlignment="1">
      <alignment horizontal="left"/>
    </xf>
    <xf numFmtId="0" fontId="5" fillId="2" borderId="30" xfId="9" applyFont="1" applyBorder="1"/>
    <xf numFmtId="37" fontId="5" fillId="2" borderId="0" xfId="9" applyNumberFormat="1" applyFont="1"/>
    <xf numFmtId="37" fontId="7" fillId="2" borderId="0" xfId="10" applyNumberFormat="1" applyFont="1" applyAlignment="1">
      <alignment horizontal="centerContinuous"/>
    </xf>
    <xf numFmtId="37" fontId="4" fillId="2" borderId="9" xfId="10" applyNumberFormat="1" applyFont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7" fontId="4" fillId="2" borderId="25" xfId="10" applyNumberFormat="1" applyFont="1" applyBorder="1"/>
    <xf numFmtId="37" fontId="4" fillId="2" borderId="3" xfId="10" applyNumberFormat="1" applyFont="1" applyBorder="1"/>
    <xf numFmtId="37" fontId="4" fillId="2" borderId="13" xfId="10" applyNumberFormat="1" applyFont="1" applyBorder="1" applyAlignment="1">
      <alignment horizontal="center"/>
    </xf>
    <xf numFmtId="37" fontId="7" fillId="0" borderId="11" xfId="10" applyNumberFormat="1" applyFont="1" applyFill="1" applyBorder="1"/>
    <xf numFmtId="37" fontId="7" fillId="0" borderId="7" xfId="10" applyNumberFormat="1" applyFont="1" applyFill="1" applyBorder="1"/>
    <xf numFmtId="37" fontId="7" fillId="0" borderId="26" xfId="10" applyNumberFormat="1" applyFont="1" applyFill="1" applyBorder="1"/>
    <xf numFmtId="37" fontId="7" fillId="0" borderId="25" xfId="10" applyNumberFormat="1" applyFont="1" applyFill="1" applyBorder="1"/>
    <xf numFmtId="37" fontId="7" fillId="0" borderId="0" xfId="10" applyNumberFormat="1" applyFont="1" applyFill="1"/>
    <xf numFmtId="37" fontId="7" fillId="0" borderId="22" xfId="10" applyNumberFormat="1" applyFont="1" applyFill="1" applyBorder="1"/>
    <xf numFmtId="37" fontId="7" fillId="2" borderId="31" xfId="10" applyNumberFormat="1" applyFont="1" applyBorder="1"/>
    <xf numFmtId="0" fontId="5" fillId="0" borderId="25" xfId="7" applyFont="1" applyBorder="1"/>
    <xf numFmtId="0" fontId="5" fillId="0" borderId="32" xfId="7" applyFont="1" applyBorder="1"/>
    <xf numFmtId="37" fontId="5" fillId="2" borderId="22" xfId="10" applyNumberFormat="1" applyFont="1" applyBorder="1"/>
    <xf numFmtId="37" fontId="7" fillId="2" borderId="8" xfId="10" applyNumberFormat="1" applyFont="1" applyBorder="1"/>
    <xf numFmtId="37" fontId="7" fillId="2" borderId="9" xfId="10" applyNumberFormat="1" applyFont="1" applyBorder="1"/>
    <xf numFmtId="37" fontId="7" fillId="2" borderId="14" xfId="10" applyNumberFormat="1" applyFont="1" applyBorder="1"/>
    <xf numFmtId="38" fontId="7" fillId="2" borderId="8" xfId="10" applyNumberFormat="1" applyFont="1" applyBorder="1"/>
    <xf numFmtId="38" fontId="7" fillId="2" borderId="9" xfId="10" applyNumberFormat="1" applyFont="1" applyBorder="1"/>
    <xf numFmtId="0" fontId="5" fillId="0" borderId="8" xfId="7" applyFont="1" applyBorder="1"/>
    <xf numFmtId="37" fontId="7" fillId="0" borderId="14" xfId="10" applyNumberFormat="1" applyFont="1" applyFill="1" applyBorder="1"/>
    <xf numFmtId="37" fontId="7" fillId="0" borderId="12" xfId="10" applyNumberFormat="1" applyFont="1" applyFill="1" applyBorder="1"/>
    <xf numFmtId="37" fontId="7" fillId="0" borderId="6" xfId="10" applyNumberFormat="1" applyFont="1" applyFill="1" applyBorder="1" applyAlignment="1">
      <alignment horizontal="left"/>
    </xf>
    <xf numFmtId="0" fontId="21" fillId="0" borderId="7" xfId="7" applyBorder="1"/>
    <xf numFmtId="37" fontId="7" fillId="0" borderId="33" xfId="10" applyNumberFormat="1" applyFont="1" applyFill="1" applyBorder="1"/>
    <xf numFmtId="37" fontId="7" fillId="2" borderId="0" xfId="10" applyNumberFormat="1" applyFont="1"/>
    <xf numFmtId="37" fontId="7" fillId="0" borderId="8" xfId="10" applyNumberFormat="1" applyFont="1" applyFill="1" applyBorder="1"/>
    <xf numFmtId="37" fontId="7" fillId="0" borderId="34" xfId="10" applyNumberFormat="1" applyFont="1" applyFill="1" applyBorder="1"/>
    <xf numFmtId="37" fontId="7" fillId="2" borderId="14" xfId="10" applyNumberFormat="1" applyFont="1" applyBorder="1" applyAlignment="1">
      <alignment horizontal="left"/>
    </xf>
    <xf numFmtId="37" fontId="7" fillId="2" borderId="3" xfId="10" applyNumberFormat="1" applyFont="1" applyBorder="1" applyAlignment="1">
      <alignment horizontal="left"/>
    </xf>
    <xf numFmtId="0" fontId="21" fillId="0" borderId="12" xfId="7" applyBorder="1"/>
    <xf numFmtId="37" fontId="7" fillId="0" borderId="35" xfId="10" applyNumberFormat="1" applyFont="1" applyFill="1" applyBorder="1"/>
    <xf numFmtId="37" fontId="4" fillId="0" borderId="27" xfId="10" applyNumberFormat="1" applyFont="1" applyFill="1" applyBorder="1" applyAlignment="1">
      <alignment horizontal="center" wrapText="1"/>
    </xf>
    <xf numFmtId="37" fontId="7" fillId="2" borderId="3" xfId="10" applyNumberFormat="1" applyFont="1" applyBorder="1"/>
    <xf numFmtId="37" fontId="7" fillId="2" borderId="12" xfId="10" applyNumberFormat="1" applyFont="1" applyBorder="1"/>
    <xf numFmtId="0" fontId="5" fillId="0" borderId="27" xfId="7" applyFont="1" applyBorder="1"/>
    <xf numFmtId="37" fontId="7" fillId="2" borderId="28" xfId="10" applyNumberFormat="1" applyFont="1" applyBorder="1" applyAlignment="1">
      <alignment horizontal="right"/>
    </xf>
    <xf numFmtId="168" fontId="7" fillId="0" borderId="12" xfId="10" applyNumberFormat="1" applyFont="1" applyFill="1" applyBorder="1" applyAlignment="1">
      <alignment horizontal="center"/>
    </xf>
    <xf numFmtId="37" fontId="7" fillId="2" borderId="3" xfId="10" applyNumberFormat="1" applyFont="1" applyBorder="1" applyAlignment="1">
      <alignment horizontal="right"/>
    </xf>
    <xf numFmtId="37" fontId="7" fillId="2" borderId="8" xfId="10" applyNumberFormat="1" applyFont="1" applyBorder="1" applyAlignment="1">
      <alignment horizontal="left"/>
    </xf>
    <xf numFmtId="37" fontId="7" fillId="2" borderId="0" xfId="10" applyNumberFormat="1" applyFont="1" applyAlignment="1">
      <alignment horizontal="right"/>
    </xf>
    <xf numFmtId="37" fontId="7" fillId="2" borderId="36" xfId="10" applyNumberFormat="1" applyFont="1" applyBorder="1" applyAlignment="1">
      <alignment horizontal="right"/>
    </xf>
    <xf numFmtId="0" fontId="5" fillId="2" borderId="0" xfId="10" applyFont="1" applyAlignment="1">
      <alignment horizontal="right"/>
    </xf>
    <xf numFmtId="0" fontId="5" fillId="2" borderId="9" xfId="10" applyFont="1" applyBorder="1" applyAlignment="1">
      <alignment horizontal="center"/>
    </xf>
    <xf numFmtId="0" fontId="5" fillId="2" borderId="12" xfId="10" applyFont="1" applyBorder="1" applyAlignment="1">
      <alignment horizontal="center"/>
    </xf>
    <xf numFmtId="0" fontId="5" fillId="0" borderId="22" xfId="7" applyFont="1" applyBorder="1"/>
    <xf numFmtId="0" fontId="5" fillId="2" borderId="18" xfId="10" applyFont="1" applyBorder="1" applyAlignment="1">
      <alignment horizontal="right"/>
    </xf>
    <xf numFmtId="168" fontId="7" fillId="2" borderId="37" xfId="10" applyNumberFormat="1" applyFont="1" applyBorder="1" applyAlignment="1">
      <alignment horizontal="center"/>
    </xf>
    <xf numFmtId="37" fontId="7" fillId="2" borderId="20" xfId="10" applyNumberFormat="1" applyFont="1" applyBorder="1" applyAlignment="1">
      <alignment horizontal="left"/>
    </xf>
    <xf numFmtId="0" fontId="5" fillId="2" borderId="2" xfId="10" applyFont="1" applyBorder="1"/>
    <xf numFmtId="168" fontId="7" fillId="2" borderId="30" xfId="10" applyNumberFormat="1" applyFont="1" applyBorder="1" applyAlignment="1">
      <alignment horizontal="center"/>
    </xf>
    <xf numFmtId="0" fontId="6" fillId="0" borderId="0" xfId="9" applyFont="1" applyFill="1" applyAlignment="1">
      <alignment horizontal="center" vertical="top"/>
    </xf>
    <xf numFmtId="37" fontId="5" fillId="0" borderId="25" xfId="9" applyNumberFormat="1" applyFont="1" applyFill="1" applyBorder="1" applyAlignment="1">
      <alignment horizontal="left"/>
    </xf>
    <xf numFmtId="37" fontId="7" fillId="2" borderId="26" xfId="9" applyNumberFormat="1" applyFont="1" applyBorder="1"/>
    <xf numFmtId="37" fontId="5" fillId="2" borderId="26" xfId="9" applyNumberFormat="1" applyFont="1" applyBorder="1"/>
    <xf numFmtId="37" fontId="5" fillId="2" borderId="38" xfId="9" applyNumberFormat="1" applyFont="1" applyBorder="1"/>
    <xf numFmtId="37" fontId="5" fillId="2" borderId="20" xfId="9" applyNumberFormat="1" applyFont="1" applyBorder="1"/>
    <xf numFmtId="37" fontId="5" fillId="2" borderId="22" xfId="9" applyNumberFormat="1" applyFont="1" applyBorder="1"/>
    <xf numFmtId="37" fontId="12" fillId="4" borderId="22" xfId="0" applyNumberFormat="1" applyFont="1" applyFill="1" applyBorder="1"/>
    <xf numFmtId="167" fontId="7" fillId="2" borderId="0" xfId="9" applyNumberFormat="1" applyFont="1" applyAlignment="1">
      <alignment horizontal="right"/>
    </xf>
    <xf numFmtId="0" fontId="6" fillId="5" borderId="6" xfId="9" applyFont="1" applyFill="1" applyBorder="1" applyAlignment="1">
      <alignment horizontal="center"/>
    </xf>
    <xf numFmtId="0" fontId="6" fillId="5" borderId="0" xfId="9" applyFont="1" applyFill="1" applyAlignment="1">
      <alignment horizontal="center"/>
    </xf>
    <xf numFmtId="37" fontId="4" fillId="5" borderId="0" xfId="9" applyNumberFormat="1" applyFont="1" applyFill="1" applyAlignment="1">
      <alignment horizontal="left"/>
    </xf>
    <xf numFmtId="0" fontId="5" fillId="5" borderId="0" xfId="9" applyFont="1" applyFill="1"/>
    <xf numFmtId="37" fontId="4" fillId="2" borderId="8" xfId="9" applyNumberFormat="1" applyFont="1" applyBorder="1" applyAlignment="1">
      <alignment horizontal="center" vertical="center"/>
    </xf>
    <xf numFmtId="37" fontId="4" fillId="2" borderId="14" xfId="9" applyNumberFormat="1" applyFont="1" applyBorder="1" applyAlignment="1">
      <alignment horizontal="center" vertical="center"/>
    </xf>
    <xf numFmtId="0" fontId="21" fillId="0" borderId="0" xfId="7" applyAlignment="1">
      <alignment horizontal="left" vertical="center" wrapText="1"/>
    </xf>
    <xf numFmtId="0" fontId="21" fillId="0" borderId="2" xfId="7" applyBorder="1" applyAlignment="1" applyProtection="1">
      <alignment horizontal="center"/>
      <protection locked="0"/>
    </xf>
    <xf numFmtId="49" fontId="6" fillId="2" borderId="2" xfId="9" applyNumberFormat="1" applyFont="1" applyBorder="1" applyAlignment="1" applyProtection="1">
      <alignment horizontal="center"/>
      <protection locked="0"/>
    </xf>
    <xf numFmtId="0" fontId="6" fillId="2" borderId="2" xfId="9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49" fontId="5" fillId="2" borderId="2" xfId="9" applyNumberFormat="1" applyFont="1" applyBorder="1" applyAlignment="1">
      <alignment horizontal="center"/>
    </xf>
    <xf numFmtId="0" fontId="5" fillId="0" borderId="2" xfId="7" applyFont="1" applyBorder="1" applyAlignment="1">
      <alignment horizontal="center" wrapText="1"/>
    </xf>
    <xf numFmtId="37" fontId="4" fillId="2" borderId="5" xfId="9" applyNumberFormat="1" applyFont="1" applyBorder="1" applyAlignment="1">
      <alignment horizontal="center"/>
    </xf>
    <xf numFmtId="38" fontId="5" fillId="0" borderId="3" xfId="0" applyNumberFormat="1" applyFont="1" applyBorder="1"/>
    <xf numFmtId="38" fontId="5" fillId="0" borderId="12" xfId="0" applyNumberFormat="1" applyFont="1" applyBorder="1"/>
    <xf numFmtId="38" fontId="5" fillId="0" borderId="36" xfId="0" applyNumberFormat="1" applyFont="1" applyBorder="1"/>
    <xf numFmtId="38" fontId="5" fillId="0" borderId="37" xfId="0" applyNumberFormat="1" applyFont="1" applyBorder="1"/>
    <xf numFmtId="37" fontId="5" fillId="0" borderId="36" xfId="0" applyNumberFormat="1" applyFont="1" applyBorder="1"/>
    <xf numFmtId="37" fontId="5" fillId="0" borderId="37" xfId="0" applyNumberFormat="1" applyFont="1" applyBorder="1"/>
    <xf numFmtId="0" fontId="21" fillId="0" borderId="1" xfId="7" applyBorder="1" applyAlignment="1" applyProtection="1">
      <alignment horizontal="center"/>
      <protection locked="0"/>
    </xf>
    <xf numFmtId="0" fontId="21" fillId="0" borderId="0" xfId="7" applyAlignment="1">
      <alignment vertical="center" wrapText="1"/>
    </xf>
    <xf numFmtId="0" fontId="6" fillId="0" borderId="0" xfId="7" applyFont="1"/>
    <xf numFmtId="0" fontId="5" fillId="2" borderId="2" xfId="9" applyFont="1" applyBorder="1" applyAlignment="1" applyProtection="1">
      <alignment horizontal="center"/>
      <protection locked="0"/>
    </xf>
    <xf numFmtId="0" fontId="21" fillId="0" borderId="0" xfId="7" applyAlignment="1">
      <alignment vertical="top" wrapText="1"/>
    </xf>
    <xf numFmtId="0" fontId="21" fillId="0" borderId="0" xfId="7" applyAlignment="1">
      <alignment horizontal="left"/>
    </xf>
    <xf numFmtId="0" fontId="21" fillId="0" borderId="18" xfId="7" applyBorder="1" applyAlignment="1" applyProtection="1">
      <alignment horizontal="left" vertical="top" wrapText="1"/>
      <protection locked="0"/>
    </xf>
    <xf numFmtId="0" fontId="21" fillId="0" borderId="1" xfId="7" applyBorder="1" applyAlignment="1" applyProtection="1">
      <alignment horizontal="left" vertical="top" wrapText="1"/>
      <protection locked="0"/>
    </xf>
    <xf numFmtId="0" fontId="21" fillId="0" borderId="39" xfId="7" applyBorder="1" applyAlignment="1" applyProtection="1">
      <alignment horizontal="left" vertical="top" wrapText="1"/>
      <protection locked="0"/>
    </xf>
    <xf numFmtId="37" fontId="4" fillId="2" borderId="0" xfId="9" applyNumberFormat="1" applyFont="1" applyAlignment="1">
      <alignment horizontal="center"/>
    </xf>
    <xf numFmtId="0" fontId="21" fillId="0" borderId="2" xfId="7" applyBorder="1" applyAlignment="1" applyProtection="1">
      <alignment horizontal="left"/>
      <protection locked="0"/>
    </xf>
    <xf numFmtId="0" fontId="21" fillId="0" borderId="1" xfId="7" applyBorder="1" applyAlignment="1" applyProtection="1">
      <alignment horizontal="left"/>
      <protection locked="0"/>
    </xf>
    <xf numFmtId="14" fontId="21" fillId="0" borderId="2" xfId="7" applyNumberFormat="1" applyBorder="1" applyAlignment="1" applyProtection="1">
      <alignment horizontal="center"/>
      <protection locked="0"/>
    </xf>
    <xf numFmtId="164" fontId="21" fillId="0" borderId="2" xfId="7" applyNumberFormat="1" applyBorder="1" applyAlignment="1" applyProtection="1">
      <alignment horizontal="center"/>
      <protection locked="0"/>
    </xf>
    <xf numFmtId="0" fontId="21" fillId="0" borderId="0" xfId="7" applyAlignment="1">
      <alignment horizontal="center"/>
    </xf>
    <xf numFmtId="0" fontId="6" fillId="0" borderId="2" xfId="9" applyFont="1" applyFill="1" applyBorder="1" applyAlignment="1" applyProtection="1">
      <alignment horizontal="center"/>
      <protection locked="0"/>
    </xf>
    <xf numFmtId="37" fontId="7" fillId="2" borderId="26" xfId="9" applyNumberFormat="1" applyFont="1" applyBorder="1"/>
    <xf numFmtId="0" fontId="10" fillId="2" borderId="13" xfId="7" applyFont="1" applyFill="1" applyBorder="1"/>
    <xf numFmtId="37" fontId="7" fillId="0" borderId="26" xfId="9" applyNumberFormat="1" applyFont="1" applyFill="1" applyBorder="1"/>
    <xf numFmtId="0" fontId="21" fillId="0" borderId="13" xfId="7" applyBorder="1"/>
    <xf numFmtId="37" fontId="7" fillId="2" borderId="28" xfId="9" applyNumberFormat="1" applyFont="1" applyBorder="1"/>
    <xf numFmtId="37" fontId="7" fillId="2" borderId="37" xfId="9" applyNumberFormat="1" applyFont="1" applyBorder="1"/>
    <xf numFmtId="37" fontId="7" fillId="2" borderId="11" xfId="9" applyNumberFormat="1" applyFont="1" applyBorder="1"/>
    <xf numFmtId="37" fontId="7" fillId="2" borderId="7" xfId="9" applyNumberFormat="1" applyFont="1" applyBorder="1"/>
    <xf numFmtId="37" fontId="7" fillId="2" borderId="14" xfId="9" applyNumberFormat="1" applyFont="1" applyBorder="1"/>
    <xf numFmtId="37" fontId="7" fillId="2" borderId="12" xfId="9" applyNumberFormat="1" applyFont="1" applyBorder="1"/>
    <xf numFmtId="166" fontId="7" fillId="2" borderId="40" xfId="9" applyNumberFormat="1" applyFont="1" applyBorder="1"/>
    <xf numFmtId="166" fontId="7" fillId="2" borderId="41" xfId="9" applyNumberFormat="1" applyFont="1" applyBorder="1"/>
    <xf numFmtId="166" fontId="7" fillId="2" borderId="42" xfId="9" applyNumberFormat="1" applyFont="1" applyBorder="1"/>
    <xf numFmtId="37" fontId="7" fillId="2" borderId="13" xfId="9" applyNumberFormat="1" applyFont="1" applyBorder="1"/>
    <xf numFmtId="0" fontId="6" fillId="2" borderId="28" xfId="10" applyFont="1" applyBorder="1" applyAlignment="1">
      <alignment horizontal="center"/>
    </xf>
    <xf numFmtId="0" fontId="6" fillId="2" borderId="36" xfId="10" applyFont="1" applyBorder="1" applyAlignment="1">
      <alignment horizontal="center"/>
    </xf>
    <xf numFmtId="0" fontId="6" fillId="2" borderId="37" xfId="10" applyFont="1" applyBorder="1" applyAlignment="1">
      <alignment horizontal="center"/>
    </xf>
    <xf numFmtId="37" fontId="4" fillId="2" borderId="11" xfId="9" applyNumberFormat="1" applyFont="1" applyBorder="1" applyAlignment="1">
      <alignment horizontal="center"/>
    </xf>
    <xf numFmtId="37" fontId="4" fillId="2" borderId="7" xfId="9" applyNumberFormat="1" applyFont="1" applyBorder="1" applyAlignment="1">
      <alignment horizontal="center"/>
    </xf>
    <xf numFmtId="167" fontId="7" fillId="0" borderId="28" xfId="10" applyNumberFormat="1" applyFont="1" applyFill="1" applyBorder="1"/>
    <xf numFmtId="167" fontId="7" fillId="0" borderId="37" xfId="10" applyNumberFormat="1" applyFont="1" applyFill="1" applyBorder="1"/>
    <xf numFmtId="37" fontId="11" fillId="2" borderId="0" xfId="9" applyNumberFormat="1" applyFont="1" applyAlignment="1">
      <alignment horizontal="left" vertical="center"/>
    </xf>
    <xf numFmtId="0" fontId="21" fillId="0" borderId="0" xfId="7"/>
    <xf numFmtId="37" fontId="11" fillId="2" borderId="2" xfId="9" applyNumberFormat="1" applyFont="1" applyBorder="1" applyAlignment="1">
      <alignment horizontal="left" vertical="center"/>
    </xf>
    <xf numFmtId="0" fontId="21" fillId="0" borderId="2" xfId="7" applyBorder="1"/>
    <xf numFmtId="37" fontId="5" fillId="0" borderId="26" xfId="9" applyNumberFormat="1" applyFont="1" applyFill="1" applyBorder="1"/>
    <xf numFmtId="37" fontId="5" fillId="0" borderId="13" xfId="9" applyNumberFormat="1" applyFont="1" applyFill="1" applyBorder="1"/>
    <xf numFmtId="37" fontId="4" fillId="2" borderId="25" xfId="9" applyNumberFormat="1" applyFont="1" applyBorder="1" applyAlignment="1">
      <alignment horizontal="left" vertical="center" wrapText="1"/>
    </xf>
    <xf numFmtId="37" fontId="4" fillId="2" borderId="0" xfId="9" applyNumberFormat="1" applyFont="1" applyAlignment="1">
      <alignment horizontal="left" vertical="center" wrapText="1"/>
    </xf>
    <xf numFmtId="37" fontId="4" fillId="2" borderId="9" xfId="9" applyNumberFormat="1" applyFont="1" applyBorder="1" applyAlignment="1">
      <alignment horizontal="left" vertical="center" wrapText="1"/>
    </xf>
    <xf numFmtId="166" fontId="7" fillId="2" borderId="17" xfId="9" applyNumberFormat="1" applyFont="1" applyBorder="1"/>
    <xf numFmtId="166" fontId="7" fillId="2" borderId="43" xfId="9" applyNumberFormat="1" applyFont="1" applyBorder="1"/>
    <xf numFmtId="166" fontId="7" fillId="2" borderId="44" xfId="9" applyNumberFormat="1" applyFont="1" applyBorder="1"/>
    <xf numFmtId="166" fontId="7" fillId="2" borderId="45" xfId="9" applyNumberFormat="1" applyFont="1" applyBorder="1"/>
    <xf numFmtId="166" fontId="7" fillId="2" borderId="19" xfId="9" applyNumberFormat="1" applyFont="1" applyBorder="1"/>
    <xf numFmtId="166" fontId="7" fillId="2" borderId="46" xfId="9" applyNumberFormat="1" applyFont="1" applyBorder="1"/>
    <xf numFmtId="0" fontId="5" fillId="2" borderId="8" xfId="9" applyFont="1" applyBorder="1" applyAlignment="1">
      <alignment horizontal="left" wrapText="1"/>
    </xf>
    <xf numFmtId="0" fontId="5" fillId="2" borderId="0" xfId="9" applyFont="1" applyAlignment="1">
      <alignment horizontal="left" wrapText="1"/>
    </xf>
    <xf numFmtId="0" fontId="5" fillId="2" borderId="9" xfId="9" applyFont="1" applyBorder="1" applyAlignment="1">
      <alignment horizontal="left" wrapText="1"/>
    </xf>
    <xf numFmtId="0" fontId="5" fillId="2" borderId="14" xfId="9" applyFont="1" applyBorder="1" applyAlignment="1">
      <alignment horizontal="left" wrapText="1"/>
    </xf>
    <xf numFmtId="0" fontId="5" fillId="2" borderId="3" xfId="9" applyFont="1" applyBorder="1" applyAlignment="1">
      <alignment horizontal="left" wrapText="1"/>
    </xf>
    <xf numFmtId="0" fontId="5" fillId="2" borderId="12" xfId="9" applyFont="1" applyBorder="1" applyAlignment="1">
      <alignment horizontal="left" wrapText="1"/>
    </xf>
    <xf numFmtId="0" fontId="5" fillId="0" borderId="4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top" wrapText="1"/>
    </xf>
    <xf numFmtId="0" fontId="5" fillId="0" borderId="15" xfId="7" applyFont="1" applyBorder="1" applyAlignment="1">
      <alignment horizontal="left" vertical="top" wrapText="1"/>
    </xf>
    <xf numFmtId="0" fontId="5" fillId="0" borderId="25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32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16" xfId="7" applyFont="1" applyBorder="1" applyAlignment="1">
      <alignment horizontal="left" vertical="top" wrapText="1"/>
    </xf>
    <xf numFmtId="167" fontId="7" fillId="2" borderId="28" xfId="9" applyNumberFormat="1" applyFont="1" applyBorder="1" applyAlignment="1">
      <alignment horizontal="right"/>
    </xf>
    <xf numFmtId="167" fontId="7" fillId="2" borderId="47" xfId="9" applyNumberFormat="1" applyFont="1" applyBorder="1" applyAlignment="1">
      <alignment horizontal="right"/>
    </xf>
    <xf numFmtId="167" fontId="7" fillId="2" borderId="11" xfId="9" applyNumberFormat="1" applyFont="1" applyBorder="1" applyAlignment="1">
      <alignment horizontal="right"/>
    </xf>
    <xf numFmtId="167" fontId="7" fillId="2" borderId="48" xfId="9" applyNumberFormat="1" applyFont="1" applyBorder="1" applyAlignment="1">
      <alignment horizontal="right"/>
    </xf>
    <xf numFmtId="167" fontId="7" fillId="2" borderId="14" xfId="9" applyNumberFormat="1" applyFont="1" applyBorder="1" applyAlignment="1">
      <alignment horizontal="right"/>
    </xf>
    <xf numFmtId="167" fontId="7" fillId="2" borderId="49" xfId="9" applyNumberFormat="1" applyFont="1" applyBorder="1" applyAlignment="1">
      <alignment horizontal="right"/>
    </xf>
    <xf numFmtId="37" fontId="7" fillId="0" borderId="28" xfId="9" applyNumberFormat="1" applyFont="1" applyFill="1" applyBorder="1"/>
    <xf numFmtId="37" fontId="7" fillId="0" borderId="37" xfId="9" applyNumberFormat="1" applyFont="1" applyFill="1" applyBorder="1"/>
    <xf numFmtId="167" fontId="7" fillId="2" borderId="28" xfId="10" applyNumberFormat="1" applyFont="1" applyBorder="1"/>
    <xf numFmtId="167" fontId="7" fillId="2" borderId="37" xfId="10" applyNumberFormat="1" applyFont="1" applyBorder="1"/>
    <xf numFmtId="9" fontId="5" fillId="0" borderId="36" xfId="1" applyFont="1" applyFill="1" applyBorder="1" applyProtection="1"/>
    <xf numFmtId="9" fontId="5" fillId="0" borderId="37" xfId="1" applyFont="1" applyFill="1" applyBorder="1" applyProtection="1"/>
    <xf numFmtId="0" fontId="6" fillId="0" borderId="2" xfId="7" applyFont="1" applyBorder="1" applyAlignment="1" applyProtection="1">
      <alignment horizontal="center"/>
      <protection locked="0"/>
    </xf>
    <xf numFmtId="167" fontId="7" fillId="2" borderId="37" xfId="9" applyNumberFormat="1" applyFont="1" applyBorder="1" applyAlignment="1">
      <alignment horizontal="right"/>
    </xf>
    <xf numFmtId="37" fontId="4" fillId="2" borderId="48" xfId="9" applyNumberFormat="1" applyFont="1" applyBorder="1" applyAlignment="1">
      <alignment horizontal="center"/>
    </xf>
    <xf numFmtId="37" fontId="4" fillId="2" borderId="8" xfId="9" applyNumberFormat="1" applyFont="1" applyBorder="1" applyAlignment="1">
      <alignment horizontal="center"/>
    </xf>
    <xf numFmtId="37" fontId="4" fillId="2" borderId="32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"/>
    </xf>
    <xf numFmtId="37" fontId="4" fillId="2" borderId="49" xfId="9" applyNumberFormat="1" applyFont="1" applyBorder="1" applyAlignment="1">
      <alignment horizontal="center"/>
    </xf>
    <xf numFmtId="167" fontId="7" fillId="2" borderId="7" xfId="9" applyNumberFormat="1" applyFont="1" applyBorder="1" applyAlignment="1">
      <alignment horizontal="right"/>
    </xf>
    <xf numFmtId="167" fontId="7" fillId="2" borderId="12" xfId="9" applyNumberFormat="1" applyFont="1" applyBorder="1" applyAlignment="1">
      <alignment horizontal="right"/>
    </xf>
    <xf numFmtId="37" fontId="4" fillId="2" borderId="14" xfId="9" applyNumberFormat="1" applyFont="1" applyBorder="1"/>
    <xf numFmtId="37" fontId="4" fillId="2" borderId="12" xfId="9" applyNumberFormat="1" applyFont="1" applyBorder="1"/>
    <xf numFmtId="37" fontId="5" fillId="2" borderId="28" xfId="9" applyNumberFormat="1" applyFont="1" applyBorder="1"/>
    <xf numFmtId="37" fontId="5" fillId="2" borderId="37" xfId="9" applyNumberFormat="1" applyFont="1" applyBorder="1"/>
    <xf numFmtId="37" fontId="4" fillId="2" borderId="9" xfId="10" applyNumberFormat="1" applyFont="1" applyBorder="1" applyAlignment="1">
      <alignment horizontal="center"/>
    </xf>
    <xf numFmtId="167" fontId="7" fillId="0" borderId="28" xfId="9" applyNumberFormat="1" applyFont="1" applyFill="1" applyBorder="1" applyAlignment="1">
      <alignment horizontal="right"/>
    </xf>
    <xf numFmtId="167" fontId="7" fillId="0" borderId="47" xfId="9" applyNumberFormat="1" applyFont="1" applyFill="1" applyBorder="1" applyAlignment="1">
      <alignment horizontal="right"/>
    </xf>
    <xf numFmtId="37" fontId="4" fillId="2" borderId="12" xfId="10" applyNumberFormat="1" applyFont="1" applyBorder="1" applyAlignment="1">
      <alignment horizontal="center"/>
    </xf>
    <xf numFmtId="37" fontId="5" fillId="2" borderId="11" xfId="9" applyNumberFormat="1" applyFont="1" applyBorder="1"/>
    <xf numFmtId="37" fontId="5" fillId="2" borderId="7" xfId="9" applyNumberFormat="1" applyFont="1" applyBorder="1"/>
    <xf numFmtId="37" fontId="5" fillId="2" borderId="20" xfId="9" applyNumberFormat="1" applyFont="1" applyBorder="1"/>
    <xf numFmtId="37" fontId="5" fillId="2" borderId="30" xfId="9" applyNumberFormat="1" applyFont="1" applyBorder="1"/>
    <xf numFmtId="167" fontId="7" fillId="2" borderId="22" xfId="9" applyNumberFormat="1" applyFont="1" applyBorder="1" applyAlignment="1">
      <alignment horizontal="right"/>
    </xf>
    <xf numFmtId="37" fontId="12" fillId="4" borderId="22" xfId="0" applyNumberFormat="1" applyFont="1" applyFill="1" applyBorder="1" applyAlignment="1">
      <alignment horizontal="center"/>
    </xf>
    <xf numFmtId="0" fontId="0" fillId="0" borderId="0" xfId="0"/>
    <xf numFmtId="37" fontId="7" fillId="2" borderId="22" xfId="10" applyNumberFormat="1" applyFont="1" applyBorder="1" applyAlignment="1">
      <alignment horizontal="right"/>
    </xf>
    <xf numFmtId="37" fontId="7" fillId="2" borderId="27" xfId="10" applyNumberFormat="1" applyFont="1" applyBorder="1" applyAlignment="1">
      <alignment horizontal="right"/>
    </xf>
    <xf numFmtId="37" fontId="4" fillId="2" borderId="28" xfId="10" applyNumberFormat="1" applyFont="1" applyBorder="1" applyAlignment="1">
      <alignment horizontal="center"/>
    </xf>
    <xf numFmtId="37" fontId="4" fillId="2" borderId="36" xfId="10" applyNumberFormat="1" applyFont="1" applyBorder="1" applyAlignment="1">
      <alignment horizontal="center"/>
    </xf>
    <xf numFmtId="37" fontId="4" fillId="2" borderId="37" xfId="10" applyNumberFormat="1" applyFont="1" applyBorder="1" applyAlignment="1">
      <alignment horizontal="center"/>
    </xf>
    <xf numFmtId="37" fontId="4" fillId="0" borderId="27" xfId="10" applyNumberFormat="1" applyFont="1" applyFill="1" applyBorder="1" applyAlignment="1">
      <alignment horizontal="center"/>
    </xf>
    <xf numFmtId="37" fontId="4" fillId="2" borderId="27" xfId="10" applyNumberFormat="1" applyFont="1" applyBorder="1" applyAlignment="1">
      <alignment horizontal="center"/>
    </xf>
    <xf numFmtId="37" fontId="4" fillId="2" borderId="50" xfId="10" applyNumberFormat="1" applyFont="1" applyBorder="1" applyAlignment="1">
      <alignment horizontal="center"/>
    </xf>
    <xf numFmtId="37" fontId="4" fillId="2" borderId="23" xfId="10" applyNumberFormat="1" applyFont="1" applyBorder="1" applyAlignment="1">
      <alignment horizontal="center"/>
    </xf>
    <xf numFmtId="37" fontId="4" fillId="2" borderId="51" xfId="10" applyNumberFormat="1" applyFont="1" applyBorder="1" applyAlignment="1">
      <alignment horizontal="center"/>
    </xf>
    <xf numFmtId="37" fontId="4" fillId="2" borderId="18" xfId="10" applyNumberFormat="1" applyFont="1" applyBorder="1" applyAlignment="1">
      <alignment horizontal="center"/>
    </xf>
    <xf numFmtId="37" fontId="4" fillId="2" borderId="1" xfId="10" applyNumberFormat="1" applyFont="1" applyBorder="1" applyAlignment="1">
      <alignment horizontal="center"/>
    </xf>
    <xf numFmtId="37" fontId="4" fillId="2" borderId="39" xfId="10" applyNumberFormat="1" applyFont="1" applyBorder="1" applyAlignment="1">
      <alignment horizontal="center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98-99Smry" xfId="8" xr:uid="{00000000-0005-0000-0000-000008000000}"/>
    <cellStyle name="Normal_Summary Page 1" xfId="9" xr:uid="{00000000-0005-0000-0000-000009000000}"/>
    <cellStyle name="Normal_Summary Page 2" xfId="10" xr:uid="{00000000-0005-0000-0000-00000A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6EXPB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upplement"/>
      <sheetName val="Summary Page 1"/>
      <sheetName val="Summary Page 2"/>
      <sheetName val="Truth in Tax"/>
      <sheetName val="Fund balances"/>
      <sheetName val="Data Entry"/>
      <sheetName val="Calculations"/>
      <sheetName val="BSA55"/>
      <sheetName val="Instructions"/>
    </sheetNames>
    <definedNames>
      <definedName name="BudgetYearADM" refersTo="='Summary Page 1'!$D$12"/>
      <definedName name="BudgetYearSalarySumm" refersTo="='Summary Page 1'!$I$10"/>
      <definedName name="ContractFTEAdmin" refersTo="='Summary Page 2'!$D$38"/>
      <definedName name="ContractFTECertOther" refersTo="='Summary Page 2'!$D$40"/>
      <definedName name="ContractFTECertSubtotal" refersTo="='Summary Page 2'!$D$41"/>
      <definedName name="ContractFTEClassOther" refersTo="='Summary Page 2'!$D$45"/>
      <definedName name="ContractFTEClassSubtotal" refersTo="='Summary Page 2'!$D$46"/>
      <definedName name="ContractFTEManagers" refersTo="='Summary Page 2'!$D$43"/>
      <definedName name="ContractFTESpecEdStaff" refersTo="='Summary Page 2'!$D$51"/>
      <definedName name="ContractFTESpecEdTeacher" refersTo="='Summary Page 2'!$D$50"/>
      <definedName name="ContractFTETeachers" refersTo="='Summary Page 2'!$D$39"/>
      <definedName name="ContractFTETeachersAids" refersTo="='Summary Page 2'!$D$44"/>
      <definedName name="ContractFTETotal" refersTo="='Summary Page 2'!$D$47"/>
      <definedName name="CSFBLBudgFYSumm" refersTo="='Summary Page 1'!$D$23"/>
      <definedName name="CSFExpBudgFYSumm" refersTo="='Summary Page 1'!$B$23"/>
      <definedName name="EmployeeFTEAdmin" refersTo="='Summary Page 2'!$E$38"/>
      <definedName name="EmployeeFTECertOther" refersTo="='Summary Page 2'!$E$40"/>
      <definedName name="EmployeeFTECertSubtotal" refersTo="='Summary Page 2'!$E$41"/>
      <definedName name="EmployeeFTEClassOther" refersTo="='Summary Page 2'!$E$45"/>
      <definedName name="EmployeeFTEClassSubtotal" refersTo="='Summary Page 2'!$E$46"/>
      <definedName name="EmployeeFTEManagers" refersTo="='Summary Page 2'!$E$43"/>
      <definedName name="EmployeeFTESpecEdStaff" refersTo="='Summary Page 2'!$E$51"/>
      <definedName name="EmployeeFTESpecEdTeacher" refersTo="='Summary Page 2'!$E$50"/>
      <definedName name="EmployeeFTETeachers" refersTo="='Summary Page 2'!$E$39"/>
      <definedName name="EmployeeFTETeachersAides" refersTo="='Summary Page 2'!$E$44"/>
      <definedName name="EmployeeFTETotal" refersTo="='Summary Page 2'!$E$47"/>
      <definedName name="EstTaxRateBudgFYSumm" refersTo="='Summary Page 1'!$D$16"/>
      <definedName name="F001Carryforward" refersTo="='Page 1'!$L$43"/>
      <definedName name="F001P100F1000OthBudgFY" refersTo="='Summary Page 1'!$F$33"/>
      <definedName name="F001P100F1000SBBudgFY" refersTo="='Summary Page 1'!$D$33"/>
      <definedName name="F001P100F2100OthBudgFY" refersTo="='Summary Page 1'!$F$35"/>
      <definedName name="F001P100F2100SBBudgFY" refersTo="='Summary Page 1'!$D$35"/>
      <definedName name="F001P100F2200OthBudgFY" refersTo="='Summary Page 1'!$F$36"/>
      <definedName name="F001P100F2200SBBudgFY" refersTo="='Summary Page 1'!$D$36"/>
      <definedName name="F001P100F230024002500OthBudgFY" refersTo="='Summary Page 1'!$F$37"/>
      <definedName name="F001P100F230024002500SBBudgFY" refersTo="='Summary Page 1'!$D$37"/>
      <definedName name="F001P100F2600OthBudgFY" refersTo="='Summary Page 1'!$F$38"/>
      <definedName name="F001P100F2600SBBudgFY" refersTo="='Summary Page 1'!$D$38"/>
      <definedName name="F001P100F2900OthBudgFY" refersTo="='Summary Page 1'!$F$39"/>
      <definedName name="F001P100F2900SBBudgFY" refersTo="='Summary Page 1'!$D$39"/>
      <definedName name="F001P100F3000OthBudgFY" refersTo="='Summary Page 1'!$F$40"/>
      <definedName name="F001P100F3000SBBudgFY" refersTo="='Summary Page 1'!$D$40"/>
      <definedName name="F001P200F1000OthBudgFY" refersTo="='Summary Page 1'!$F$46"/>
      <definedName name="F001P200F1000SBBudgFY" refersTo="='Summary Page 1'!$D$46"/>
      <definedName name="F001P200F2100OthBudgFY" refersTo="='Summary Page 1'!$F$48"/>
      <definedName name="F001P200F2100SBBudgFY" refersTo="='Summary Page 1'!$D$48"/>
      <definedName name="F001P200F2200OthBudgFY" refersTo="='Summary Page 1'!$F$49"/>
      <definedName name="F001P200F2200SBBudgFY" refersTo="='Summary Page 1'!$D$49"/>
      <definedName name="F001P200F230024002500OthBudgFY" refersTo="='Summary Page 1'!$F$50"/>
      <definedName name="F001P200F230024002500SBBudgFY" refersTo="='Summary Page 1'!$D$50"/>
      <definedName name="F001P200F2600OthBudgFY" refersTo="='Summary Page 1'!$F$51"/>
      <definedName name="F001P200F2600SBBudgFY" refersTo="='Summary Page 1'!$D$51"/>
      <definedName name="F001P200F2900OthBudgFY" refersTo="='Summary Page 1'!$F$52"/>
      <definedName name="F001P200F2900SBBudgFY" refersTo="='Summary Page 1'!$D$52"/>
      <definedName name="F001P200F3000OthBudgFY" refersTo="='Summary Page 1'!$F$53"/>
      <definedName name="F001P200F3000SBBudgFY" refersTo="='Summary Page 1'!$D$53"/>
      <definedName name="F001P400OthBudgFy" refersTo="='Summary Page 1'!$F$55"/>
      <definedName name="F001P400SBBudgFY" refersTo="='Summary Page 1'!$D$55"/>
      <definedName name="F001P510OthBudgFY" refersTo="='Summary Page 1'!$F$56"/>
      <definedName name="F001P510SBBudgFY" refersTo="='Summary Page 1'!$D$56"/>
      <definedName name="F001P530OthBudgFY" refersTo="='Summary Page 1'!$F$57"/>
      <definedName name="F001P530SBBudgFY" refersTo="='Summary Page 1'!$D$57"/>
      <definedName name="F001P540OthBudgFY" refersTo="='Summary Page 1'!$F$59"/>
      <definedName name="F001P540SBBudgFY" refersTo="='Summary Page 1'!$D$59"/>
      <definedName name="F001P550OthBudgFY" refersTo="='Summary Page 1'!$F$60"/>
      <definedName name="F001P550SBBudgFY" refersTo="='Summary Page 1'!$D$60"/>
      <definedName name="F001P610OthBudgFY" refersTo="='Summary Page 1'!$F$41"/>
      <definedName name="F001P610SBBudgFY" refersTo="='Summary Page 1'!$D$41"/>
      <definedName name="F001P620OthBudgFY" refersTo="='Summary Page 1'!$F$42"/>
      <definedName name="F001P620SBBudgFY" refersTo="='Summary Page 1'!$D$42"/>
      <definedName name="F001P630700800900OthBudgFY" refersTo="='Summary Page 1'!$F$43"/>
      <definedName name="F001P630700800900SBBudgFY" refersTo="='Summary Page 1'!$D$43"/>
      <definedName name="F001TotalExpSumm" refersTo="='Summary Page 1'!$B$22"/>
      <definedName name="F010Carryforward" refersTo="='Page 3'!$K$15"/>
      <definedName name="F610Carryforward" refersTo="='Page 4'!$L$20"/>
      <definedName name="GBLBudgFYSumm" refersTo="='Summary Page 1'!$D$22"/>
      <definedName name="PercentageIncreaseSumm" refersTo="='Summary Page 1'!$I$13"/>
      <definedName name="PrimTaxRatePYSumm" refersTo="='Summary Page 1'!$C$16"/>
      <definedName name="PriorYearADM" refersTo="='Summary Page 1'!$C$12"/>
      <definedName name="PriorYearSalarySumm" refersTo="='Summary Page 1'!$I$11"/>
      <definedName name="RatioAdmin" refersTo="='Summary Page 2'!$H$38"/>
      <definedName name="RatioCertOther" refersTo="='Summary Page 2'!$H$40"/>
      <definedName name="RatioCertSubtotal" refersTo="='Summary Page 2'!$H$41"/>
      <definedName name="RatioClassOther" refersTo="='Summary Page 2'!$H$45"/>
      <definedName name="RatioClassSubtotal" refersTo="='Summary Page 2'!$H$46"/>
      <definedName name="RatioManagers" refersTo="='Summary Page 2'!$H$43"/>
      <definedName name="RatioTeachers" refersTo="='Summary Page 2'!$H$39"/>
      <definedName name="RatioTeachersAides" refersTo="='Summary Page 2'!$H$44"/>
      <definedName name="RatioTotal" refersTo="='Summary Page 2'!$H$47"/>
      <definedName name="SalaryCommentsSumm" refersTo="='Summary Page 1'!$E$15"/>
      <definedName name="SalaryIncreaseSumm" refersTo="='Summary Page 1'!$I$12"/>
      <definedName name="SecTaxRateBudgFYSumm" refersTo="='Summary Page 1'!$D$19"/>
      <definedName name="SecTaxRatePYSumm" refersTo="='Summary Page 1'!$C$19"/>
      <definedName name="SPEDELLCompInstrCurrFY" refersTo="='Page 2'!$F$11"/>
      <definedName name="SPEDStaff" refersTo="='Summary Page 2'!$H$51"/>
      <definedName name="SPEDTeacher" refersTo="='Summary Page 2'!$H$50"/>
      <definedName name="SumDebtServiceBY" refersTo="='Summary Page 2'!$D$16"/>
      <definedName name="SummAdjacentWaysBY" refersTo="='Summary Page 2'!$D$15"/>
      <definedName name="SummAdjacentWaysPY" refersTo="='Summary Page 2'!$C$15"/>
      <definedName name="SummAllDisabilityBY" refersTo="='Summary Page 2'!$E$25"/>
      <definedName name="SummAllDisabilityPY" refersTo="='Summary Page 2'!$D$25"/>
      <definedName name="SummAuxOpsBY" refersTo="='Summary Page 2'!$D$18"/>
      <definedName name="SummAuxOpsPY" refersTo="='Summary Page 2'!$C$18"/>
      <definedName name="SummBondBuildingBY" refersTo="='Summary Page 2'!$D$19"/>
      <definedName name="SummBondBuildingPY" refersTo="='Summary Page 2'!$C$19"/>
      <definedName name="SummCareerEdBY" refersTo="='Summary Page 2'!$E$31"/>
      <definedName name="SummCareerEdPY" refersTo="='Summary Page 2'!$D$31"/>
      <definedName name="SummCompInstrBY" refersTo="='Summary Page 2'!$D$9"/>
      <definedName name="SummCompInstrPY" refersTo="='Summary Page 2'!$C$9"/>
      <definedName name="SummCSFBY" refersTo="='Summary Page 2'!$D$10"/>
      <definedName name="SummCSFPY" refersTo="='Summary Page 2'!$C$10"/>
      <definedName name="SummCTEDBY" refersTo="='Summary Page 2'!$E$32"/>
      <definedName name="SummCTEDPY" refersTo="='Summary Page 2'!$D$32"/>
      <definedName name="SummDebtServicePY" refersTo="='Summary Page 2'!$C$16"/>
      <definedName name="SummELLBY" refersTo="='Summary Page 2'!$D$8"/>
      <definedName name="SummELLCompInstBY" refersTo="='Summary Page 2'!$E$29"/>
      <definedName name="SummELLIncrementalBY" refersTo="='Summary Page 2'!$E$28"/>
      <definedName name="SummELLIncrementalPY" refersTo="='Summary Page 2'!$D$28"/>
      <definedName name="SummELLPY" refersTo="='Summary Page 2'!$C$8"/>
      <definedName name="SummFedProjectsBY" refersTo="='Summary Page 2'!$D$11"/>
      <definedName name="SummFedProjectsPY" refersTo="='Summary Page 2'!$C$11"/>
      <definedName name="SummFoodServiceBY" refersTo="='Summary Page 2'!$D$20"/>
      <definedName name="SummFoodServicePY" refersTo="='Summary Page 2'!$C$20"/>
      <definedName name="SummGiftedBY" refersTo="='Summary Page 2'!$E$26"/>
      <definedName name="SummGiftedPY" refersTo="='Summary Page 2'!$D$26"/>
      <definedName name="SummInstImprovBY" refersTo="='Summary Page 2'!$D$7"/>
      <definedName name="SummInstImprovPY" refersTo="='Summary Page 2'!$C$7"/>
      <definedName name="SummMOBY" refersTo="='Summary Page 2'!$D$6"/>
      <definedName name="SummMOPY" refersTo="='Summary Page 2'!$C$6"/>
      <definedName name="SummNSFBY" refersTo="='Summary Page 2'!$D$14"/>
      <definedName name="SummNSFPY" refersTo="='Summary Page 2'!$C$14"/>
      <definedName name="SummOtherBY" refersTo="='Summary Page 2'!$D$21"/>
      <definedName name="SummOtherPY" refersTo="='Summary Page 2'!$C$21"/>
      <definedName name="SummRemedialBY" refersTo="='Summary Page 2'!$E$27"/>
      <definedName name="SummRemedialPY" refersTo="='Summary Page 2'!$D$27"/>
      <definedName name="SummSchoolPlantBY" refersTo="='Summary Page 2'!$D$17"/>
      <definedName name="SummSchoolPlantPY" refersTo="='Summary Page 2'!$C$17"/>
      <definedName name="SummSpecEdTotalBY" refersTo="='Summary Page 2'!$E$33"/>
      <definedName name="SummSpecEdTotalPY" refersTo="='Summary Page 2'!$D$33"/>
      <definedName name="SummStateProjectsBY" refersTo="='Summary Page 2'!$D$12"/>
      <definedName name="SummStateProjectsPY" refersTo="='Summary Page 2'!$C$12"/>
      <definedName name="SummUCOBY" refersTo="='Summary Page 2'!$D$13"/>
      <definedName name="SummUCOPY" refersTo="='Summary Page 2'!$C$13"/>
      <definedName name="SummVocandTechEdBY" refersTo="='Summary Page 2'!$E$30"/>
      <definedName name="SummVocandTechEdPY" refersTo="='Summary Page 2'!$D$30"/>
      <definedName name="TotalFTEAdmin" refersTo="='Summary Page 2'!$F$38"/>
      <definedName name="TotalFTECertOther" refersTo="='Summary Page 2'!$F$40"/>
      <definedName name="TotalFTECertSubtotal" refersTo="='Summary Page 2'!$F$41"/>
      <definedName name="TotalFTEClassOther" refersTo="='Summary Page 2'!$F$45"/>
      <definedName name="TotalFTEClassSubtotal" refersTo="='Summary Page 2'!$F$46"/>
      <definedName name="TotalFTEManagers" refersTo="='Summary Page 2'!$F$43"/>
      <definedName name="TotalFTESpecEdStaff" refersTo="='Summary Page 2'!$F$51"/>
      <definedName name="TotalFTESpecEdTeacher" refersTo="='Summary Page 2'!$F$50"/>
      <definedName name="TotalFTETeachers" refersTo="='Summary Page 2'!$F$39"/>
      <definedName name="TotalFTETeachersAides" refersTo="='Summary Page 2'!$F$44"/>
      <definedName name="TotalFTETotal" refersTo="='Summary Page 2'!$F$47"/>
      <definedName name="TwoPriorYearADM" refersTo="='Summary Page 1'!$B$12"/>
      <definedName name="UCBLBudgFYSumm" refersTo="='Summary Page 1'!$D$24"/>
      <definedName name="UCOBudgFYSumm" refersTo="='Summary Page 1'!$B$24"/>
    </definedNames>
    <sheetDataSet>
      <sheetData sheetId="0">
        <row r="1">
          <cell r="C1" t="str">
            <v>Osborn School District</v>
          </cell>
          <cell r="S1" t="str">
            <v>070408000</v>
          </cell>
        </row>
        <row r="8">
          <cell r="C8" t="str">
            <v>Proposed</v>
          </cell>
        </row>
      </sheetData>
      <sheetData sheetId="1">
        <row r="6">
          <cell r="D6" t="str">
            <v>FY</v>
          </cell>
        </row>
        <row r="8">
          <cell r="C8" t="str">
            <v>1.</v>
          </cell>
          <cell r="D8">
            <v>90.06</v>
          </cell>
        </row>
        <row r="9">
          <cell r="C9" t="str">
            <v xml:space="preserve"> </v>
          </cell>
        </row>
        <row r="10">
          <cell r="C10" t="str">
            <v>2.</v>
          </cell>
          <cell r="D10">
            <v>11</v>
          </cell>
          <cell r="I10">
            <v>35000</v>
          </cell>
        </row>
        <row r="11">
          <cell r="C11" t="str">
            <v>3.</v>
          </cell>
          <cell r="D11">
            <v>13.39</v>
          </cell>
          <cell r="F11">
            <v>696000</v>
          </cell>
          <cell r="I11">
            <v>2500</v>
          </cell>
        </row>
        <row r="12">
          <cell r="C12" t="str">
            <v>4.</v>
          </cell>
          <cell r="D12">
            <v>2</v>
          </cell>
          <cell r="I12">
            <v>2500</v>
          </cell>
        </row>
        <row r="13">
          <cell r="C13" t="str">
            <v>5.</v>
          </cell>
          <cell r="D13">
            <v>12</v>
          </cell>
          <cell r="I13">
            <v>2000</v>
          </cell>
        </row>
        <row r="14">
          <cell r="C14" t="str">
            <v>6.</v>
          </cell>
          <cell r="D14">
            <v>9.5</v>
          </cell>
        </row>
        <row r="15">
          <cell r="C15" t="str">
            <v>7.</v>
          </cell>
          <cell r="D15">
            <v>29</v>
          </cell>
          <cell r="E15">
            <v>29</v>
          </cell>
          <cell r="K15">
            <v>3100000</v>
          </cell>
        </row>
        <row r="16">
          <cell r="C16" t="str">
            <v>8.</v>
          </cell>
          <cell r="D16">
            <v>0</v>
          </cell>
        </row>
        <row r="17">
          <cell r="C17" t="str">
            <v>9.</v>
          </cell>
          <cell r="D17">
            <v>0</v>
          </cell>
        </row>
        <row r="18">
          <cell r="C18" t="str">
            <v>10.</v>
          </cell>
          <cell r="D18">
            <v>0</v>
          </cell>
        </row>
        <row r="19">
          <cell r="C19" t="str">
            <v>11.</v>
          </cell>
          <cell r="D19">
            <v>0</v>
          </cell>
        </row>
        <row r="20">
          <cell r="C20" t="str">
            <v>12.</v>
          </cell>
          <cell r="D20">
            <v>0</v>
          </cell>
          <cell r="L20">
            <v>0</v>
          </cell>
        </row>
        <row r="21">
          <cell r="C21" t="str">
            <v>13.</v>
          </cell>
          <cell r="D21">
            <v>0</v>
          </cell>
        </row>
        <row r="22">
          <cell r="D22">
            <v>166.95</v>
          </cell>
        </row>
        <row r="24">
          <cell r="D24">
            <v>43.56</v>
          </cell>
        </row>
        <row r="26">
          <cell r="D26">
            <v>14.5</v>
          </cell>
          <cell r="E26">
            <v>15</v>
          </cell>
        </row>
        <row r="27">
          <cell r="D27">
            <v>2.5</v>
          </cell>
          <cell r="E27">
            <v>2.5</v>
          </cell>
        </row>
        <row r="28">
          <cell r="D28">
            <v>0</v>
          </cell>
          <cell r="E28">
            <v>0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5">
          <cell r="D35">
            <v>23.79</v>
          </cell>
          <cell r="F35">
            <v>900000</v>
          </cell>
        </row>
        <row r="37">
          <cell r="D37">
            <v>0</v>
          </cell>
          <cell r="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H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H40">
            <v>0</v>
          </cell>
        </row>
        <row r="41">
          <cell r="D41">
            <v>3</v>
          </cell>
          <cell r="E41">
            <v>3</v>
          </cell>
          <cell r="F41">
            <v>174919</v>
          </cell>
        </row>
        <row r="42">
          <cell r="D42">
            <v>254.3</v>
          </cell>
          <cell r="F42">
            <v>14672589</v>
          </cell>
        </row>
        <row r="43">
          <cell r="L43">
            <v>1800000</v>
          </cell>
        </row>
        <row r="44">
          <cell r="D44">
            <v>254.3</v>
          </cell>
          <cell r="E44">
            <v>259.25</v>
          </cell>
          <cell r="F44">
            <v>14672589</v>
          </cell>
          <cell r="H44">
            <v>2169500</v>
          </cell>
        </row>
      </sheetData>
      <sheetData sheetId="2">
        <row r="11">
          <cell r="F11">
            <v>0</v>
          </cell>
        </row>
        <row r="12">
          <cell r="B12" t="str">
            <v>Vocational and Technical Education (non-CTED)</v>
          </cell>
        </row>
        <row r="15">
          <cell r="K15" t="str">
            <v>Do not report budgeted amounts for the Performance Pay Component of the Classroom Site Fund on this line.</v>
          </cell>
        </row>
      </sheetData>
      <sheetData sheetId="3">
        <row r="6">
          <cell r="C6" t="str">
            <v>1.</v>
          </cell>
          <cell r="D6">
            <v>1445000</v>
          </cell>
        </row>
        <row r="7">
          <cell r="C7" t="str">
            <v>2.</v>
          </cell>
          <cell r="D7">
            <v>300000</v>
          </cell>
        </row>
        <row r="8">
          <cell r="C8" t="str">
            <v>3.</v>
          </cell>
          <cell r="D8">
            <v>300000</v>
          </cell>
        </row>
        <row r="9">
          <cell r="C9" t="str">
            <v>4.</v>
          </cell>
        </row>
        <row r="10">
          <cell r="C10" t="str">
            <v>5.</v>
          </cell>
        </row>
        <row r="11">
          <cell r="C11" t="str">
            <v>6.</v>
          </cell>
        </row>
        <row r="12">
          <cell r="C12" t="str">
            <v>7.</v>
          </cell>
        </row>
        <row r="13">
          <cell r="C13" t="str">
            <v>8.</v>
          </cell>
        </row>
        <row r="14">
          <cell r="C14" t="str">
            <v>9.</v>
          </cell>
          <cell r="D14">
            <v>2045000</v>
          </cell>
        </row>
        <row r="15">
          <cell r="C15" t="str">
            <v>10.</v>
          </cell>
          <cell r="K15">
            <v>2800000</v>
          </cell>
        </row>
        <row r="16">
          <cell r="C16" t="str">
            <v>11.</v>
          </cell>
          <cell r="D16">
            <v>2045000</v>
          </cell>
        </row>
        <row r="32">
          <cell r="D32">
            <v>5002721</v>
          </cell>
        </row>
        <row r="33">
          <cell r="D33">
            <v>2000000</v>
          </cell>
          <cell r="E33" t="str">
            <v/>
          </cell>
        </row>
        <row r="35">
          <cell r="D35">
            <v>0</v>
          </cell>
        </row>
        <row r="36">
          <cell r="D36">
            <v>2183953</v>
          </cell>
        </row>
        <row r="37">
          <cell r="D37">
            <v>0</v>
          </cell>
        </row>
        <row r="39">
          <cell r="D39">
            <v>5186674</v>
          </cell>
        </row>
      </sheetData>
      <sheetData sheetId="4">
        <row r="7">
          <cell r="D7">
            <v>6440</v>
          </cell>
        </row>
        <row r="8">
          <cell r="C8" t="str">
            <v>1.</v>
          </cell>
          <cell r="D8">
            <v>0</v>
          </cell>
        </row>
        <row r="10">
          <cell r="C10" t="str">
            <v>2.</v>
          </cell>
        </row>
        <row r="12">
          <cell r="C12" t="str">
            <v>3.</v>
          </cell>
        </row>
        <row r="13">
          <cell r="C13" t="str">
            <v>4.</v>
          </cell>
        </row>
        <row r="14">
          <cell r="C14" t="str">
            <v>5.</v>
          </cell>
        </row>
        <row r="15">
          <cell r="C15" t="str">
            <v>6.</v>
          </cell>
          <cell r="K15">
            <v>400000</v>
          </cell>
        </row>
        <row r="16">
          <cell r="C16" t="str">
            <v>7.</v>
          </cell>
        </row>
        <row r="17">
          <cell r="C17" t="str">
            <v>8.</v>
          </cell>
        </row>
        <row r="18">
          <cell r="C18" t="str">
            <v>9.</v>
          </cell>
        </row>
        <row r="19">
          <cell r="C19" t="str">
            <v>10.</v>
          </cell>
          <cell r="D19">
            <v>0</v>
          </cell>
        </row>
        <row r="20">
          <cell r="C20" t="str">
            <v>11.</v>
          </cell>
          <cell r="L20">
            <v>3000000</v>
          </cell>
        </row>
        <row r="21">
          <cell r="C21" t="str">
            <v>12.</v>
          </cell>
          <cell r="D21">
            <v>0</v>
          </cell>
        </row>
        <row r="31">
          <cell r="E31" t="str">
            <v>(6)</v>
          </cell>
        </row>
        <row r="38">
          <cell r="E38" t="str">
            <v>, principal on leases of</v>
          </cell>
          <cell r="H38" t="str">
            <v>, and principal on bonds of</v>
          </cell>
        </row>
        <row r="40">
          <cell r="E40" t="str">
            <v>, interest on leases of</v>
          </cell>
          <cell r="H40" t="str">
            <v>, and interest on bonds of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Prior year</v>
          </cell>
          <cell r="D9" t="str">
            <v>Budget year</v>
          </cell>
        </row>
        <row r="10">
          <cell r="C10" t="str">
            <v>2025 ADM</v>
          </cell>
          <cell r="D10" t="str">
            <v>2026 ADM</v>
          </cell>
          <cell r="I10">
            <v>62603</v>
          </cell>
        </row>
        <row r="11">
          <cell r="I11">
            <v>61375</v>
          </cell>
        </row>
        <row r="12">
          <cell r="B12">
            <v>2185.4319999999998</v>
          </cell>
          <cell r="C12">
            <v>2236.3591999999999</v>
          </cell>
          <cell r="D12">
            <v>2236.3591999999999</v>
          </cell>
          <cell r="I12">
            <v>1228</v>
          </cell>
        </row>
        <row r="13">
          <cell r="C13" t="str">
            <v>Prior FY</v>
          </cell>
          <cell r="D13" t="str">
            <v>Est. Budget FY</v>
          </cell>
          <cell r="I13">
            <v>0.02</v>
          </cell>
        </row>
        <row r="15">
          <cell r="E15" t="str">
            <v xml:space="preserve">Comments on average salary calculation (Optional): All returning staff in the District (classified, certified and administrative) received a 2% increase for the 25/26 sy. </v>
          </cell>
        </row>
        <row r="16">
          <cell r="C16">
            <v>1.6480999999999999</v>
          </cell>
          <cell r="D16">
            <v>1.64</v>
          </cell>
        </row>
        <row r="19">
          <cell r="C19">
            <v>2.2355999999999998</v>
          </cell>
          <cell r="D19">
            <v>2.21</v>
          </cell>
        </row>
        <row r="20">
          <cell r="C20" t="str">
            <v>Budgeted Carryforward</v>
          </cell>
          <cell r="D20" t="str">
            <v>Budget Limit</v>
          </cell>
        </row>
        <row r="22">
          <cell r="B22">
            <v>21234500</v>
          </cell>
          <cell r="D22">
            <v>23034500</v>
          </cell>
        </row>
        <row r="23">
          <cell r="B23">
            <v>2386674</v>
          </cell>
          <cell r="D23">
            <v>5186674</v>
          </cell>
        </row>
        <row r="24">
          <cell r="B24">
            <v>3506213</v>
          </cell>
          <cell r="D24">
            <v>6506213</v>
          </cell>
        </row>
        <row r="29">
          <cell r="E29" t="str">
            <v>Other</v>
          </cell>
        </row>
        <row r="30">
          <cell r="D30" t="str">
            <v>Budget FY</v>
          </cell>
          <cell r="E30" t="str">
            <v>Prior FY</v>
          </cell>
        </row>
        <row r="33">
          <cell r="C33">
            <v>9358670</v>
          </cell>
          <cell r="D33">
            <v>8858670</v>
          </cell>
          <cell r="E33">
            <v>734000</v>
          </cell>
          <cell r="F33">
            <v>228000</v>
          </cell>
        </row>
        <row r="35">
          <cell r="C35">
            <v>501000</v>
          </cell>
          <cell r="D35">
            <v>420000</v>
          </cell>
          <cell r="E35">
            <v>35000</v>
          </cell>
          <cell r="F35">
            <v>35000</v>
          </cell>
        </row>
        <row r="36">
          <cell r="C36">
            <v>843000</v>
          </cell>
          <cell r="D36">
            <v>843000</v>
          </cell>
          <cell r="E36">
            <v>48500</v>
          </cell>
          <cell r="F36">
            <v>29500</v>
          </cell>
        </row>
        <row r="37">
          <cell r="C37">
            <v>2470000</v>
          </cell>
          <cell r="D37">
            <v>2163000</v>
          </cell>
          <cell r="E37">
            <v>250500</v>
          </cell>
          <cell r="F37">
            <v>212500</v>
          </cell>
        </row>
        <row r="38">
          <cell r="C38">
            <v>1576000</v>
          </cell>
          <cell r="D38">
            <v>1100000</v>
          </cell>
          <cell r="E38">
            <v>1524000</v>
          </cell>
          <cell r="F38">
            <v>1417740</v>
          </cell>
          <cell r="H38">
            <v>2517740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75000</v>
          </cell>
          <cell r="F40">
            <v>75000</v>
          </cell>
          <cell r="H40">
            <v>75000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</row>
        <row r="42">
          <cell r="C42">
            <v>15500</v>
          </cell>
          <cell r="D42">
            <v>15500</v>
          </cell>
          <cell r="E42">
            <v>6100</v>
          </cell>
          <cell r="F42">
            <v>6100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</row>
        <row r="44">
          <cell r="D44">
            <v>13400170</v>
          </cell>
          <cell r="E44">
            <v>2673100</v>
          </cell>
          <cell r="F44">
            <v>2003840</v>
          </cell>
          <cell r="H44">
            <v>15404010</v>
          </cell>
        </row>
        <row r="46">
          <cell r="C46">
            <v>2400000</v>
          </cell>
          <cell r="D46">
            <v>2280000</v>
          </cell>
          <cell r="E46">
            <v>1033000</v>
          </cell>
          <cell r="F46">
            <v>533000</v>
          </cell>
          <cell r="H46">
            <v>2813000</v>
          </cell>
        </row>
        <row r="48">
          <cell r="C48">
            <v>889000</v>
          </cell>
          <cell r="D48">
            <v>789000</v>
          </cell>
          <cell r="E48">
            <v>361000</v>
          </cell>
          <cell r="F48">
            <v>259000</v>
          </cell>
        </row>
        <row r="49">
          <cell r="C49">
            <v>249000</v>
          </cell>
          <cell r="D49">
            <v>249000</v>
          </cell>
          <cell r="E49">
            <v>7000</v>
          </cell>
          <cell r="F49">
            <v>7000</v>
          </cell>
        </row>
        <row r="50">
          <cell r="C50">
            <v>0</v>
          </cell>
          <cell r="D50">
            <v>0</v>
          </cell>
          <cell r="E50">
            <v>2500</v>
          </cell>
          <cell r="F50">
            <v>2500</v>
          </cell>
          <cell r="H50">
            <v>2500</v>
          </cell>
        </row>
        <row r="51">
          <cell r="C51">
            <v>0</v>
          </cell>
          <cell r="D51">
            <v>0</v>
          </cell>
          <cell r="E51">
            <v>500</v>
          </cell>
          <cell r="F51">
            <v>500</v>
          </cell>
          <cell r="H51">
            <v>500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5">
          <cell r="C55">
            <v>1229000</v>
          </cell>
          <cell r="D55">
            <v>1075000</v>
          </cell>
          <cell r="E55">
            <v>433000</v>
          </cell>
          <cell r="F55">
            <v>433000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9">
          <cell r="D59">
            <v>0</v>
          </cell>
          <cell r="F59">
            <v>0</v>
          </cell>
        </row>
        <row r="60">
          <cell r="C60">
            <v>202490</v>
          </cell>
          <cell r="D60">
            <v>202490</v>
          </cell>
          <cell r="E60">
            <v>0</v>
          </cell>
          <cell r="F60">
            <v>0</v>
          </cell>
        </row>
      </sheetData>
      <sheetData sheetId="11">
        <row r="6">
          <cell r="C6">
            <v>24243760</v>
          </cell>
          <cell r="D6">
            <v>21234500</v>
          </cell>
        </row>
        <row r="7">
          <cell r="C7">
            <v>170000</v>
          </cell>
          <cell r="D7">
            <v>200000</v>
          </cell>
        </row>
        <row r="8">
          <cell r="C8">
            <v>45000</v>
          </cell>
          <cell r="D8">
            <v>45000</v>
          </cell>
        </row>
        <row r="9">
          <cell r="C9">
            <v>0</v>
          </cell>
          <cell r="D9">
            <v>0</v>
          </cell>
        </row>
        <row r="10">
          <cell r="C10">
            <v>5002721</v>
          </cell>
          <cell r="D10">
            <v>2386674</v>
          </cell>
        </row>
        <row r="11">
          <cell r="C11">
            <v>10139045</v>
          </cell>
          <cell r="D11">
            <v>10014045</v>
          </cell>
          <cell r="F11">
            <v>-1.2E-2</v>
          </cell>
        </row>
        <row r="12">
          <cell r="C12">
            <v>1260000</v>
          </cell>
          <cell r="D12">
            <v>1260000</v>
          </cell>
        </row>
        <row r="13">
          <cell r="C13">
            <v>6315445</v>
          </cell>
          <cell r="D13">
            <v>3506213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7822813</v>
          </cell>
          <cell r="D16">
            <v>8174150</v>
          </cell>
        </row>
        <row r="17">
          <cell r="C17">
            <v>766000</v>
          </cell>
          <cell r="D17">
            <v>766000</v>
          </cell>
        </row>
        <row r="18">
          <cell r="C18">
            <v>30000</v>
          </cell>
          <cell r="D18">
            <v>30000</v>
          </cell>
        </row>
        <row r="19">
          <cell r="C19">
            <v>30000000</v>
          </cell>
          <cell r="D19">
            <v>24600000</v>
          </cell>
        </row>
        <row r="20">
          <cell r="C20">
            <v>2750000</v>
          </cell>
          <cell r="D20">
            <v>2750000</v>
          </cell>
          <cell r="L20" t="str">
            <v>590  Grants and Gifts to Teachers</v>
          </cell>
        </row>
        <row r="21">
          <cell r="C21">
            <v>5576500</v>
          </cell>
          <cell r="D21">
            <v>5576500</v>
          </cell>
        </row>
        <row r="24">
          <cell r="D24" t="str">
            <v>Prior FY</v>
          </cell>
        </row>
        <row r="25">
          <cell r="D25">
            <v>4442000</v>
          </cell>
          <cell r="E25">
            <v>4115000</v>
          </cell>
        </row>
        <row r="26">
          <cell r="D26">
            <v>500000</v>
          </cell>
          <cell r="E26">
            <v>5000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4942000</v>
          </cell>
          <cell r="E33">
            <v>4120000</v>
          </cell>
          <cell r="F33" t="str">
            <v/>
          </cell>
        </row>
        <row r="36">
          <cell r="D36" t="str">
            <v>Purchased Services Personnel  FTE</v>
          </cell>
          <cell r="F36" t="str">
            <v>Total FTE</v>
          </cell>
        </row>
        <row r="38">
          <cell r="E38">
            <v>12</v>
          </cell>
          <cell r="F38">
            <v>12</v>
          </cell>
          <cell r="H38">
            <v>186.4</v>
          </cell>
        </row>
        <row r="39">
          <cell r="D39">
            <v>0</v>
          </cell>
          <cell r="E39">
            <v>172</v>
          </cell>
          <cell r="F39">
            <v>172</v>
          </cell>
          <cell r="H39">
            <v>13</v>
          </cell>
        </row>
        <row r="40">
          <cell r="E40">
            <v>19</v>
          </cell>
          <cell r="F40">
            <v>19</v>
          </cell>
          <cell r="H40">
            <v>117.7</v>
          </cell>
        </row>
        <row r="41">
          <cell r="D41">
            <v>0</v>
          </cell>
          <cell r="E41">
            <v>203</v>
          </cell>
          <cell r="F41">
            <v>203</v>
          </cell>
          <cell r="H41">
            <v>11</v>
          </cell>
        </row>
        <row r="43">
          <cell r="E43">
            <v>7</v>
          </cell>
          <cell r="F43">
            <v>7</v>
          </cell>
          <cell r="H43">
            <v>319.5</v>
          </cell>
        </row>
        <row r="44">
          <cell r="E44">
            <v>40</v>
          </cell>
          <cell r="F44">
            <v>40</v>
          </cell>
          <cell r="H44">
            <v>55.9</v>
          </cell>
        </row>
        <row r="45">
          <cell r="E45">
            <v>110</v>
          </cell>
          <cell r="F45">
            <v>110</v>
          </cell>
          <cell r="H45">
            <v>20.3</v>
          </cell>
        </row>
        <row r="46">
          <cell r="D46">
            <v>0</v>
          </cell>
          <cell r="E46">
            <v>157</v>
          </cell>
          <cell r="F46">
            <v>157</v>
          </cell>
          <cell r="H46">
            <v>14.2</v>
          </cell>
        </row>
        <row r="47">
          <cell r="D47">
            <v>0</v>
          </cell>
          <cell r="E47">
            <v>360</v>
          </cell>
          <cell r="F47">
            <v>360</v>
          </cell>
          <cell r="H47">
            <v>6.2</v>
          </cell>
        </row>
        <row r="50">
          <cell r="D50">
            <v>0</v>
          </cell>
          <cell r="E50">
            <v>26</v>
          </cell>
          <cell r="F50">
            <v>26</v>
          </cell>
          <cell r="H50">
            <v>14</v>
          </cell>
        </row>
        <row r="51">
          <cell r="E51">
            <v>48</v>
          </cell>
          <cell r="F51">
            <v>48</v>
          </cell>
          <cell r="H51">
            <v>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nye@osbornsd.org" TargetMode="External"/><Relationship Id="rId1" Type="http://schemas.openxmlformats.org/officeDocument/2006/relationships/hyperlink" Target="../../FY%202024%20Budget%20Forms/Prohibited%20formula%20characters/Files%20from%20ADE%203-27-23/Summ_Page1_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36"/>
  <sheetViews>
    <sheetView showGridLines="0" tabSelected="1" topLeftCell="A6" workbookViewId="0">
      <selection activeCell="I26" sqref="I26"/>
    </sheetView>
  </sheetViews>
  <sheetFormatPr defaultColWidth="9.42578125" defaultRowHeight="12.75"/>
  <cols>
    <col min="1" max="1" width="20.42578125" style="10" customWidth="1"/>
    <col min="2" max="2" width="12.140625" style="10" customWidth="1"/>
    <col min="3" max="3" width="12.42578125" style="10" customWidth="1"/>
    <col min="4" max="5" width="11" style="10" customWidth="1"/>
    <col min="6" max="7" width="5.5703125" style="10" customWidth="1"/>
    <col min="8" max="8" width="10.5703125" style="10" customWidth="1"/>
    <col min="9" max="9" width="11" style="10" customWidth="1"/>
    <col min="10" max="10" width="12.5703125" style="10" customWidth="1"/>
    <col min="11" max="12" width="5.5703125" style="10" customWidth="1"/>
    <col min="13" max="13" width="9.42578125" style="10" customWidth="1"/>
    <col min="14" max="14" width="7.5703125" style="10" customWidth="1"/>
    <col min="15" max="15" width="13" style="10" customWidth="1"/>
    <col min="16" max="17" width="9.42578125" style="10" customWidth="1"/>
    <col min="18" max="18" width="13.5703125" style="10" customWidth="1"/>
    <col min="19" max="23" width="9.42578125" style="10" customWidth="1"/>
    <col min="24" max="16384" width="9.42578125" style="10"/>
  </cols>
  <sheetData>
    <row r="1" spans="1:24" ht="12.75" customHeight="1">
      <c r="A1"/>
      <c r="B1" s="8" t="s">
        <v>17</v>
      </c>
      <c r="C1" s="9" t="str">
        <f>[1]Cover!$C$1</f>
        <v>Osborn School District</v>
      </c>
      <c r="D1" s="9"/>
      <c r="F1"/>
      <c r="G1"/>
      <c r="H1"/>
      <c r="I1" s="8" t="s">
        <v>16</v>
      </c>
      <c r="J1" s="11" t="str">
        <f>_xlfn.SINGLE([1]Cover!S1)</f>
        <v>070408000</v>
      </c>
      <c r="K1" s="12"/>
      <c r="L1" s="13"/>
      <c r="M1" s="14" t="s">
        <v>132</v>
      </c>
      <c r="N1" s="13"/>
      <c r="O1"/>
      <c r="P1" s="15"/>
      <c r="Q1" s="15"/>
      <c r="R1" s="15"/>
      <c r="S1" s="15"/>
      <c r="T1" s="15"/>
      <c r="U1" s="15"/>
      <c r="V1" s="15"/>
      <c r="W1" s="15"/>
      <c r="X1" s="16"/>
    </row>
    <row r="2" spans="1:24">
      <c r="A2" s="8"/>
      <c r="B2" s="8"/>
      <c r="C2" s="17"/>
      <c r="D2" s="8"/>
      <c r="E2" s="8"/>
      <c r="F2"/>
      <c r="G2"/>
      <c r="H2"/>
      <c r="I2" s="18"/>
      <c r="J2" s="13"/>
      <c r="K2" s="13"/>
      <c r="L2" s="13"/>
      <c r="M2" s="14" t="s">
        <v>133</v>
      </c>
      <c r="N2" s="13"/>
      <c r="O2"/>
      <c r="P2" s="15"/>
      <c r="Q2" s="15"/>
      <c r="R2" s="15"/>
      <c r="S2" s="15"/>
      <c r="T2" s="15"/>
      <c r="U2" s="15"/>
      <c r="V2" s="15"/>
      <c r="W2" s="15"/>
      <c r="X2" s="16"/>
    </row>
    <row r="3" spans="1:24" ht="29.25" customHeight="1">
      <c r="A3" s="210" t="str">
        <f>IF(ISNUMBER(SEARCH("Revised*",K22)),M1,M2)</f>
        <v>This is a notification that the above mentioned School District will be having a public hearing and board meeting to adopt its Fiscal Year 2026 Expenditure Budget.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/>
      <c r="N3" s="15"/>
      <c r="O3"/>
      <c r="P3" s="15"/>
      <c r="Q3" s="15"/>
      <c r="R3" s="15"/>
      <c r="S3" s="15"/>
      <c r="T3" s="15"/>
      <c r="U3" s="15"/>
      <c r="V3" s="15"/>
      <c r="W3" s="15"/>
      <c r="X3" s="15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>
      <c r="A5"/>
      <c r="B5" s="8" t="s">
        <v>2</v>
      </c>
      <c r="C5" s="221">
        <v>45853</v>
      </c>
      <c r="D5" s="221"/>
      <c r="E5"/>
      <c r="F5"/>
      <c r="G5"/>
      <c r="H5" s="8" t="s">
        <v>3</v>
      </c>
      <c r="I5" s="222">
        <v>0.72916666666666663</v>
      </c>
      <c r="J5" s="222"/>
      <c r="K5" s="19"/>
      <c r="L5"/>
      <c r="M5"/>
      <c r="N5"/>
      <c r="O5"/>
      <c r="P5"/>
      <c r="Q5"/>
      <c r="R5"/>
      <c r="S5"/>
      <c r="T5"/>
      <c r="U5"/>
      <c r="V5"/>
      <c r="W5"/>
      <c r="X5"/>
    </row>
    <row r="6" spans="1:24">
      <c r="A6" s="8"/>
      <c r="B6" s="8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23" t="s">
        <v>15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/>
      <c r="N7"/>
      <c r="O7"/>
      <c r="P7"/>
      <c r="Q7"/>
      <c r="R7"/>
      <c r="S7"/>
      <c r="T7"/>
      <c r="U7"/>
      <c r="V7"/>
      <c r="W7"/>
      <c r="X7"/>
    </row>
    <row r="8" spans="1:24">
      <c r="A8"/>
      <c r="B8" s="8" t="s">
        <v>4</v>
      </c>
      <c r="C8" s="219" t="s">
        <v>143</v>
      </c>
      <c r="D8" s="219"/>
      <c r="E8" s="219"/>
      <c r="F8" s="219"/>
      <c r="G8" s="219"/>
      <c r="H8" s="219"/>
      <c r="I8" s="219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/>
      <c r="B9" s="8" t="s">
        <v>5</v>
      </c>
      <c r="C9" s="219"/>
      <c r="D9" s="219"/>
      <c r="E9" s="8" t="s">
        <v>7</v>
      </c>
      <c r="F9" s="196"/>
      <c r="G9" s="196"/>
      <c r="H9" s="196"/>
      <c r="I9" s="196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/>
      <c r="B10" s="8" t="s">
        <v>6</v>
      </c>
      <c r="C10" s="220" t="s">
        <v>144</v>
      </c>
      <c r="D10" s="220"/>
      <c r="E10" s="8" t="s">
        <v>8</v>
      </c>
      <c r="F10" s="20" t="s">
        <v>0</v>
      </c>
      <c r="G10" s="17"/>
      <c r="H10" s="8" t="s">
        <v>9</v>
      </c>
      <c r="I10" s="5">
        <v>85013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8"/>
      <c r="B11" s="8"/>
      <c r="C11" s="8"/>
      <c r="D11" s="17"/>
      <c r="E11" s="8"/>
      <c r="F11" s="17"/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195" t="s">
        <v>1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/>
      <c r="B13" s="8" t="s">
        <v>10</v>
      </c>
      <c r="C13" s="196" t="s">
        <v>145</v>
      </c>
      <c r="D13" s="196"/>
      <c r="H13" s="8" t="s">
        <v>12</v>
      </c>
      <c r="I13" s="196" t="s">
        <v>146</v>
      </c>
      <c r="J13" s="196"/>
      <c r="K13" s="17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/>
      <c r="B14" s="8" t="s">
        <v>11</v>
      </c>
      <c r="C14" s="209" t="s">
        <v>147</v>
      </c>
      <c r="D14" s="209"/>
      <c r="E14"/>
      <c r="F14"/>
      <c r="G14"/>
      <c r="H14" s="8" t="s">
        <v>13</v>
      </c>
      <c r="I14" s="209"/>
      <c r="J14" s="209"/>
      <c r="K14" s="17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13" t="s">
        <v>18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3"/>
      <c r="N16" s="3"/>
      <c r="O16" s="3"/>
      <c r="P16"/>
      <c r="Q16"/>
      <c r="R16"/>
      <c r="S16"/>
      <c r="T16"/>
      <c r="U16"/>
      <c r="V16"/>
      <c r="W16"/>
      <c r="X16"/>
    </row>
    <row r="17" spans="1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14" t="s">
        <v>14</v>
      </c>
      <c r="B18" s="214"/>
      <c r="C18" s="214"/>
      <c r="D18" s="214"/>
      <c r="E18" s="214"/>
      <c r="F18" s="214"/>
      <c r="G18" s="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7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/>
      <c r="B20"/>
      <c r="C20"/>
      <c r="D20"/>
      <c r="E20"/>
      <c r="F20"/>
      <c r="G20"/>
      <c r="H20"/>
      <c r="I20"/>
      <c r="J20"/>
      <c r="K20"/>
      <c r="L20"/>
      <c r="M20" s="21" t="s">
        <v>23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218" t="str">
        <f>IF(ISNUMBER(SEARCH("Revised*",K22)),M27,M26)</f>
        <v xml:space="preserve"> SUMMARY OF SCHOOL DISTRICT PROPOSED EXPENDITURE BUDGET</v>
      </c>
      <c r="B21" s="218"/>
      <c r="C21" s="218"/>
      <c r="D21" s="218"/>
      <c r="E21" s="218"/>
      <c r="F21" s="218"/>
      <c r="G21" s="218"/>
      <c r="H21" s="218"/>
      <c r="I21"/>
      <c r="J21" s="22" t="s">
        <v>19</v>
      </c>
      <c r="K21" s="200" t="str">
        <f>J1</f>
        <v>070408000</v>
      </c>
      <c r="L21" s="200"/>
      <c r="M21" s="21" t="s">
        <v>112</v>
      </c>
      <c r="N21"/>
      <c r="O21"/>
      <c r="P21"/>
      <c r="Q21"/>
      <c r="R21"/>
      <c r="S21"/>
      <c r="T21"/>
      <c r="U21"/>
      <c r="V21"/>
      <c r="W21"/>
      <c r="X21"/>
    </row>
    <row r="22" spans="1:24">
      <c r="A22" s="23"/>
      <c r="B22" s="23"/>
      <c r="C22" s="24"/>
      <c r="D22" s="24"/>
      <c r="E22" s="24"/>
      <c r="F22" s="24"/>
      <c r="G22" s="24"/>
      <c r="H22" s="24"/>
      <c r="I22"/>
      <c r="J22" s="25" t="s">
        <v>20</v>
      </c>
      <c r="K22" s="201" t="str">
        <f>[1]Cover!$C$8</f>
        <v>Proposed</v>
      </c>
      <c r="L22" s="201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26" t="s">
        <v>21</v>
      </c>
      <c r="B23" s="197" t="s">
        <v>148</v>
      </c>
      <c r="C23" s="198"/>
      <c r="D23" s="198"/>
      <c r="E23" s="27" t="s">
        <v>22</v>
      </c>
      <c r="F23" s="224" t="s">
        <v>149</v>
      </c>
      <c r="G23" s="224"/>
      <c r="H23" s="28" t="s">
        <v>134</v>
      </c>
      <c r="I23" s="28"/>
      <c r="J23" s="28"/>
      <c r="K23" s="28"/>
      <c r="L23"/>
      <c r="M23" s="21" t="s">
        <v>135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4" t="str">
        <f>IF(ISNUMBER(SEARCH("Revised*",K22)),M20,M21)</f>
        <v>proposed by the Governing Board on</v>
      </c>
      <c r="B24" s="4"/>
      <c r="C24" s="6" t="s">
        <v>150</v>
      </c>
      <c r="D24" s="4" t="str">
        <f>IF(ISNUMBER(SEARCH("Revised*",K22)),M23,M24)</f>
        <v>, 2025, and that the complete Proposed Expenditure Budget may be reviewed by contacting</v>
      </c>
      <c r="E24" s="4"/>
      <c r="F24"/>
      <c r="G24" s="4"/>
      <c r="H24" s="4"/>
      <c r="I24" s="4"/>
      <c r="J24" s="4"/>
      <c r="K24" s="4"/>
      <c r="L24" s="4"/>
      <c r="M24" s="21" t="s">
        <v>136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" t="s">
        <v>145</v>
      </c>
      <c r="B25" s="199" t="s">
        <v>113</v>
      </c>
      <c r="C25" s="199"/>
      <c r="D25" s="199"/>
      <c r="E25" s="288" t="s">
        <v>146</v>
      </c>
      <c r="F25" s="288"/>
      <c r="G25" s="288"/>
      <c r="H25" s="211" t="s">
        <v>24</v>
      </c>
      <c r="I25" s="211"/>
      <c r="J25" s="211"/>
      <c r="K25" s="4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29"/>
      <c r="B26" s="29"/>
      <c r="C26" s="30"/>
      <c r="D26" s="30"/>
      <c r="E26" s="212"/>
      <c r="F26" s="212"/>
      <c r="G26" s="212"/>
      <c r="H26" s="212"/>
      <c r="I26" s="29"/>
      <c r="J26" s="29"/>
      <c r="K26" s="29"/>
      <c r="L26"/>
      <c r="M26" s="31" t="s">
        <v>116</v>
      </c>
      <c r="N26"/>
      <c r="O26"/>
      <c r="P26"/>
      <c r="Q26"/>
      <c r="R26"/>
      <c r="S26"/>
      <c r="T26"/>
      <c r="U26"/>
      <c r="V26"/>
      <c r="W26"/>
      <c r="X26"/>
    </row>
    <row r="27" spans="1:24">
      <c r="A27" s="29"/>
      <c r="B27" s="29"/>
      <c r="C27" s="30"/>
      <c r="D27" s="30"/>
      <c r="E27" s="202" t="s">
        <v>25</v>
      </c>
      <c r="F27" s="202"/>
      <c r="G27" s="202"/>
      <c r="H27" s="202"/>
      <c r="I27" s="29"/>
      <c r="J27" s="29"/>
      <c r="K27" s="29"/>
      <c r="L27"/>
      <c r="M27" s="31" t="s">
        <v>115</v>
      </c>
      <c r="N27"/>
      <c r="O27"/>
      <c r="P27"/>
      <c r="Q27"/>
      <c r="R27"/>
      <c r="S27"/>
      <c r="T27"/>
      <c r="U27"/>
      <c r="V27"/>
      <c r="W27"/>
      <c r="X27"/>
    </row>
    <row r="28" spans="1:24" ht="8.25" customHeight="1">
      <c r="A28" s="32"/>
      <c r="B28" s="32"/>
      <c r="C28" s="32"/>
      <c r="D28" s="32"/>
      <c r="E28" s="32"/>
      <c r="F28" s="32"/>
      <c r="G28" s="32"/>
      <c r="H28" s="29"/>
      <c r="I28" s="29"/>
      <c r="J28" s="29"/>
      <c r="K28" s="29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1.25" customHeight="1">
      <c r="A29" s="33" t="s">
        <v>26</v>
      </c>
      <c r="B29" s="34"/>
      <c r="C29" s="35"/>
      <c r="D29" s="36" t="s">
        <v>28</v>
      </c>
      <c r="E29" s="36" t="s">
        <v>29</v>
      </c>
      <c r="F29" s="37" t="s">
        <v>126</v>
      </c>
      <c r="G29" s="38"/>
      <c r="H29" s="39"/>
      <c r="I29" s="40"/>
      <c r="J29" s="40"/>
      <c r="K29" s="40"/>
      <c r="L29" s="41"/>
      <c r="M29"/>
      <c r="N29"/>
      <c r="O29"/>
      <c r="P29"/>
      <c r="Q29"/>
      <c r="R29"/>
      <c r="S29"/>
      <c r="T29"/>
      <c r="U29"/>
      <c r="V29"/>
      <c r="W29"/>
      <c r="X29"/>
    </row>
    <row r="30" spans="1:24" ht="9.75" customHeight="1">
      <c r="A30" s="42"/>
      <c r="B30" s="32"/>
      <c r="C30" s="180" t="s">
        <v>130</v>
      </c>
      <c r="D30" s="180" t="s">
        <v>131</v>
      </c>
      <c r="E30" s="180" t="s">
        <v>137</v>
      </c>
      <c r="F30" s="181" t="s">
        <v>138</v>
      </c>
      <c r="G30" s="43"/>
      <c r="H30" s="44"/>
      <c r="I30" s="45"/>
      <c r="K30" s="203">
        <f>[1]!BudgetYearSalarySumm</f>
        <v>62603</v>
      </c>
      <c r="L30" s="204"/>
      <c r="M30"/>
      <c r="N30"/>
      <c r="O30"/>
      <c r="P30"/>
      <c r="Q30"/>
      <c r="R30"/>
      <c r="S30"/>
      <c r="T30"/>
      <c r="U30"/>
      <c r="V30"/>
      <c r="W30"/>
      <c r="X30"/>
    </row>
    <row r="31" spans="1:24" ht="11.25" customHeight="1">
      <c r="A31" s="193" t="s">
        <v>30</v>
      </c>
      <c r="B31" s="46"/>
      <c r="C31" s="47"/>
      <c r="D31" s="47"/>
      <c r="E31" s="48"/>
      <c r="F31" s="181" t="s">
        <v>139</v>
      </c>
      <c r="G31" s="43"/>
      <c r="H31" s="44"/>
      <c r="I31" s="45"/>
      <c r="K31" s="205">
        <f>[1]!PriorYearSalarySumm</f>
        <v>61375</v>
      </c>
      <c r="L31" s="206"/>
      <c r="M31"/>
      <c r="N31"/>
      <c r="O31"/>
      <c r="P31"/>
      <c r="Q31"/>
      <c r="R31"/>
      <c r="S31"/>
      <c r="T31"/>
      <c r="U31"/>
      <c r="V31"/>
      <c r="W31"/>
      <c r="X31"/>
    </row>
    <row r="32" spans="1:24" ht="10.5" customHeight="1">
      <c r="A32" s="194"/>
      <c r="B32" s="49"/>
      <c r="C32" s="50">
        <f>[1]!TwoPriorYearADM</f>
        <v>2185.4319999999998</v>
      </c>
      <c r="D32" s="50">
        <f>[1]!PriorYearADM</f>
        <v>2236.3591999999999</v>
      </c>
      <c r="E32" s="51">
        <f>[1]!BudgetYearADM</f>
        <v>2236.3591999999999</v>
      </c>
      <c r="F32" s="52" t="s">
        <v>102</v>
      </c>
      <c r="G32" s="43"/>
      <c r="H32" s="44"/>
      <c r="I32" s="45"/>
      <c r="K32" s="207">
        <f>[1]!SalaryIncreaseSumm</f>
        <v>1228</v>
      </c>
      <c r="L32" s="208"/>
      <c r="M32"/>
      <c r="N32"/>
      <c r="O32"/>
      <c r="P32"/>
      <c r="Q32"/>
      <c r="R32"/>
      <c r="S32"/>
      <c r="T32"/>
      <c r="U32"/>
      <c r="V32"/>
      <c r="W32"/>
      <c r="X32"/>
    </row>
    <row r="33" spans="1:24" ht="11.25" customHeight="1">
      <c r="A33" s="53" t="s">
        <v>27</v>
      </c>
      <c r="B33" s="54"/>
      <c r="C33" s="54"/>
      <c r="D33" s="55" t="s">
        <v>39</v>
      </c>
      <c r="E33" s="55" t="s">
        <v>104</v>
      </c>
      <c r="F33" s="52" t="s">
        <v>103</v>
      </c>
      <c r="G33" s="43"/>
      <c r="H33" s="44"/>
      <c r="I33" s="45"/>
      <c r="K33" s="286">
        <f>[1]!PercentageIncreaseSumm</f>
        <v>0.02</v>
      </c>
      <c r="L33" s="287"/>
      <c r="M33"/>
      <c r="N33"/>
      <c r="O33"/>
      <c r="P33"/>
      <c r="Q33"/>
      <c r="R33"/>
      <c r="S33"/>
      <c r="T33"/>
      <c r="U33"/>
      <c r="V33"/>
      <c r="W33"/>
      <c r="X33"/>
    </row>
    <row r="34" spans="1:24" ht="11.25" customHeight="1">
      <c r="A34" s="252" t="s">
        <v>105</v>
      </c>
      <c r="B34" s="253"/>
      <c r="C34" s="254"/>
      <c r="D34" s="235">
        <f>[1]!PrimTaxRatePYSumm</f>
        <v>1.6480999999999999</v>
      </c>
      <c r="E34" s="255">
        <f>[1]!EstTaxRateBudgFYSumm</f>
        <v>1.64</v>
      </c>
      <c r="F34" s="56"/>
      <c r="G34" s="56"/>
      <c r="H34" s="57"/>
      <c r="I34" s="57"/>
      <c r="J34" s="57"/>
      <c r="K34" s="57"/>
      <c r="L34" s="58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252"/>
      <c r="B35" s="253"/>
      <c r="C35" s="254"/>
      <c r="D35" s="236"/>
      <c r="E35" s="256"/>
      <c r="F35" s="267" t="str">
        <f>IF([1]!SalaryCommentsSumm="","",[1]!SalaryCommentsSumm)</f>
        <v xml:space="preserve">Comments on average salary calculation (Optional): All returning staff in the District (classified, certified and administrative) received a 2% increase for the 25/26 sy. </v>
      </c>
      <c r="G35" s="268"/>
      <c r="H35" s="268"/>
      <c r="I35" s="268"/>
      <c r="J35" s="268"/>
      <c r="K35" s="268"/>
      <c r="L35" s="269"/>
      <c r="M35"/>
      <c r="N35"/>
      <c r="O35"/>
      <c r="P35"/>
      <c r="Q35" s="59"/>
      <c r="R35" s="60"/>
      <c r="S35" s="59"/>
      <c r="T35" s="60"/>
      <c r="U35" s="60"/>
      <c r="V35"/>
      <c r="W35"/>
      <c r="X35"/>
    </row>
    <row r="36" spans="1:24" ht="9.75" customHeight="1">
      <c r="A36" s="252"/>
      <c r="B36" s="253"/>
      <c r="C36" s="254"/>
      <c r="D36" s="237"/>
      <c r="E36" s="257"/>
      <c r="F36" s="270"/>
      <c r="G36" s="271"/>
      <c r="H36" s="271"/>
      <c r="I36" s="271"/>
      <c r="J36" s="271"/>
      <c r="K36" s="271"/>
      <c r="L36" s="272"/>
      <c r="M36"/>
      <c r="N36"/>
      <c r="O36"/>
      <c r="P36"/>
      <c r="Q36" s="61"/>
      <c r="R36" s="62"/>
      <c r="S36" s="63"/>
      <c r="T36" s="63"/>
      <c r="U36" s="60"/>
      <c r="V36"/>
      <c r="W36"/>
      <c r="X36"/>
    </row>
    <row r="37" spans="1:24" ht="12" customHeight="1">
      <c r="A37" s="261" t="s">
        <v>114</v>
      </c>
      <c r="B37" s="262"/>
      <c r="C37" s="263"/>
      <c r="D37" s="258">
        <f>[1]!SecTaxRatePYSumm</f>
        <v>2.2355999999999998</v>
      </c>
      <c r="E37" s="259">
        <f>[1]!SecTaxRateBudgFYSumm</f>
        <v>2.21</v>
      </c>
      <c r="F37" s="270"/>
      <c r="G37" s="271"/>
      <c r="H37" s="271"/>
      <c r="I37" s="271"/>
      <c r="J37" s="271"/>
      <c r="K37" s="271"/>
      <c r="L37" s="272"/>
      <c r="M37"/>
      <c r="N37"/>
      <c r="O37"/>
      <c r="P37"/>
      <c r="Q37" s="61"/>
      <c r="R37" s="44"/>
      <c r="S37" s="45"/>
      <c r="U37" s="64"/>
      <c r="V37"/>
      <c r="W37"/>
      <c r="X37"/>
    </row>
    <row r="38" spans="1:24" ht="11.25" customHeight="1">
      <c r="A38" s="261"/>
      <c r="B38" s="262"/>
      <c r="C38" s="263"/>
      <c r="D38" s="236"/>
      <c r="E38" s="256"/>
      <c r="F38" s="270"/>
      <c r="G38" s="271"/>
      <c r="H38" s="271"/>
      <c r="I38" s="271"/>
      <c r="J38" s="271"/>
      <c r="K38" s="271"/>
      <c r="L38" s="272"/>
      <c r="M38"/>
      <c r="N38"/>
      <c r="O38"/>
      <c r="P38"/>
      <c r="Q38" s="61"/>
      <c r="R38" s="44"/>
      <c r="S38" s="45"/>
      <c r="U38" s="64"/>
      <c r="V38"/>
      <c r="W38"/>
      <c r="X38"/>
    </row>
    <row r="39" spans="1:24" ht="10.5" customHeight="1">
      <c r="A39" s="264"/>
      <c r="B39" s="265"/>
      <c r="C39" s="266"/>
      <c r="D39" s="237"/>
      <c r="E39" s="260"/>
      <c r="F39" s="270"/>
      <c r="G39" s="271"/>
      <c r="H39" s="271"/>
      <c r="I39" s="271"/>
      <c r="J39" s="271"/>
      <c r="K39" s="271"/>
      <c r="L39" s="272"/>
      <c r="M39"/>
      <c r="N39"/>
      <c r="O39"/>
      <c r="P39"/>
      <c r="Q39" s="61"/>
      <c r="R39" s="44"/>
      <c r="S39" s="45"/>
      <c r="U39" s="64"/>
      <c r="V39"/>
      <c r="W39"/>
      <c r="X39"/>
    </row>
    <row r="40" spans="1:24">
      <c r="A40" s="65" t="s">
        <v>111</v>
      </c>
      <c r="B40" s="66"/>
      <c r="C40" s="67" t="s">
        <v>109</v>
      </c>
      <c r="D40" s="189" t="s">
        <v>109</v>
      </c>
      <c r="E40" s="68"/>
      <c r="F40" s="270"/>
      <c r="G40" s="271"/>
      <c r="H40" s="271"/>
      <c r="I40" s="271"/>
      <c r="J40" s="271"/>
      <c r="K40" s="271"/>
      <c r="L40" s="272"/>
      <c r="M40"/>
      <c r="N40"/>
      <c r="O40"/>
      <c r="P40"/>
      <c r="Q40" s="61"/>
      <c r="R40" s="44"/>
      <c r="S40" s="45"/>
      <c r="U40" s="69"/>
      <c r="V40"/>
      <c r="W40"/>
      <c r="X40"/>
    </row>
    <row r="41" spans="1:24" ht="11.25" customHeight="1">
      <c r="A41" s="70"/>
      <c r="B41"/>
      <c r="C41" s="27" t="s">
        <v>110</v>
      </c>
      <c r="D41" s="190" t="s">
        <v>140</v>
      </c>
      <c r="E41" s="71" t="s">
        <v>117</v>
      </c>
      <c r="F41" s="270"/>
      <c r="G41" s="271"/>
      <c r="H41" s="271"/>
      <c r="I41" s="271"/>
      <c r="J41" s="271"/>
      <c r="K41" s="271"/>
      <c r="L41" s="272"/>
      <c r="M41"/>
      <c r="N41"/>
      <c r="O41"/>
      <c r="P41"/>
      <c r="Q41"/>
      <c r="R41"/>
      <c r="S41"/>
      <c r="T41"/>
      <c r="U41"/>
      <c r="V41"/>
      <c r="W41"/>
      <c r="X41"/>
    </row>
    <row r="42" spans="1:24" ht="14.25" customHeight="1">
      <c r="A42" s="72" t="s">
        <v>106</v>
      </c>
      <c r="B42" s="66"/>
      <c r="C42" s="73">
        <f>[1]!F001TotalExpSumm</f>
        <v>21234500</v>
      </c>
      <c r="D42" s="73">
        <f t="array" ref="D42">[1]!F001Carryforward</f>
        <v>1800000</v>
      </c>
      <c r="E42" s="74">
        <f>[1]!GBLBudgFYSumm</f>
        <v>23034500</v>
      </c>
      <c r="F42" s="270"/>
      <c r="G42" s="271"/>
      <c r="H42" s="271"/>
      <c r="I42" s="271"/>
      <c r="J42" s="271"/>
      <c r="K42" s="271"/>
      <c r="L42" s="272"/>
      <c r="M42"/>
      <c r="N42"/>
      <c r="O42"/>
      <c r="P42"/>
      <c r="Q42"/>
      <c r="R42"/>
      <c r="S42"/>
      <c r="T42"/>
      <c r="U42"/>
      <c r="V42"/>
      <c r="W42"/>
      <c r="X42"/>
    </row>
    <row r="43" spans="1:24" ht="12" customHeight="1">
      <c r="A43" s="72" t="s">
        <v>107</v>
      </c>
      <c r="B43" s="66"/>
      <c r="C43" s="75">
        <f>[1]!CSFExpBudgFYSumm</f>
        <v>2386674</v>
      </c>
      <c r="D43" s="75">
        <f t="array" ref="D43">[1]!F010Carryforward</f>
        <v>2800000</v>
      </c>
      <c r="E43" s="76">
        <f>[1]!CSFBLBudgFYSumm</f>
        <v>5186674</v>
      </c>
      <c r="F43" s="270"/>
      <c r="G43" s="271"/>
      <c r="H43" s="271"/>
      <c r="I43" s="271"/>
      <c r="J43" s="271"/>
      <c r="K43" s="271"/>
      <c r="L43" s="272"/>
      <c r="M43"/>
      <c r="N43"/>
      <c r="O43"/>
      <c r="P43"/>
      <c r="Q43"/>
      <c r="R43"/>
      <c r="S43"/>
      <c r="T43"/>
      <c r="U43"/>
      <c r="V43"/>
      <c r="W43"/>
      <c r="X43"/>
    </row>
    <row r="44" spans="1:24" ht="12" customHeight="1">
      <c r="A44" s="77" t="s">
        <v>108</v>
      </c>
      <c r="B44" s="78"/>
      <c r="C44" s="80">
        <f>[1]!UCOBudgFYSumm</f>
        <v>3506213</v>
      </c>
      <c r="D44" s="80">
        <f t="array" ref="D44">[1]!F610Carryforward</f>
        <v>3000000</v>
      </c>
      <c r="E44" s="81">
        <f>[1]!UCBLBudgFYSumm</f>
        <v>6506213</v>
      </c>
      <c r="F44" s="273"/>
      <c r="G44" s="274"/>
      <c r="H44" s="274"/>
      <c r="I44" s="274"/>
      <c r="J44" s="274"/>
      <c r="K44" s="274"/>
      <c r="L44" s="275"/>
      <c r="M44"/>
      <c r="N44"/>
      <c r="O44"/>
      <c r="P44"/>
      <c r="Q44"/>
      <c r="R44"/>
      <c r="S44"/>
      <c r="T44"/>
      <c r="U44"/>
      <c r="V44"/>
      <c r="W44"/>
      <c r="X44"/>
    </row>
    <row r="45" spans="1:24" ht="6.75" customHeight="1">
      <c r="A45" s="23"/>
      <c r="B45" s="23"/>
      <c r="C45" s="82"/>
      <c r="D45" s="246"/>
      <c r="E45" s="246"/>
      <c r="F45" s="246"/>
      <c r="G45" s="246"/>
      <c r="H45" s="246"/>
      <c r="I45" s="246"/>
      <c r="J45" s="246"/>
      <c r="K45" s="246"/>
      <c r="L45" s="247"/>
      <c r="M45"/>
      <c r="N45"/>
      <c r="O45"/>
      <c r="P45"/>
      <c r="Q45"/>
      <c r="R45"/>
      <c r="S45"/>
      <c r="T45"/>
      <c r="U45"/>
      <c r="V45"/>
      <c r="W45"/>
      <c r="X45"/>
    </row>
    <row r="46" spans="1:24" ht="4.5" customHeight="1">
      <c r="A46" s="83"/>
      <c r="B46" s="83"/>
      <c r="C46" s="83"/>
      <c r="D46" s="248"/>
      <c r="E46" s="248"/>
      <c r="F46" s="248"/>
      <c r="G46" s="248"/>
      <c r="H46" s="248"/>
      <c r="I46" s="248"/>
      <c r="J46" s="248"/>
      <c r="K46" s="248"/>
      <c r="L46" s="249"/>
      <c r="M46"/>
      <c r="N46"/>
      <c r="O46"/>
      <c r="P46"/>
      <c r="Q46"/>
      <c r="R46"/>
      <c r="S46"/>
      <c r="T46"/>
      <c r="U46"/>
      <c r="V46"/>
      <c r="W46"/>
      <c r="X46"/>
    </row>
    <row r="47" spans="1:24">
      <c r="A47" s="84" t="s">
        <v>32</v>
      </c>
      <c r="B47" s="85"/>
      <c r="C47" s="86"/>
      <c r="D47" s="86"/>
      <c r="E47" s="87"/>
      <c r="F47" s="87"/>
      <c r="G47" s="87"/>
      <c r="H47" s="87"/>
      <c r="I47" s="87"/>
      <c r="J47" s="87"/>
      <c r="K47" s="87"/>
      <c r="L47" s="88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A48" s="89"/>
      <c r="B48" s="32"/>
      <c r="C48" s="90"/>
      <c r="D48" s="53"/>
      <c r="E48" s="91"/>
      <c r="F48" s="29"/>
      <c r="G48" s="29"/>
      <c r="H48" s="92"/>
      <c r="I48" s="93" t="s">
        <v>33</v>
      </c>
      <c r="J48" s="92"/>
      <c r="K48" s="242" t="s">
        <v>34</v>
      </c>
      <c r="L48" s="290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89"/>
      <c r="B49" s="32"/>
      <c r="C49" s="32"/>
      <c r="D49" s="95" t="s">
        <v>35</v>
      </c>
      <c r="E49" s="96"/>
      <c r="F49" s="97" t="s">
        <v>36</v>
      </c>
      <c r="G49" s="98"/>
      <c r="H49" s="96"/>
      <c r="I49" s="95" t="s">
        <v>37</v>
      </c>
      <c r="J49" s="96"/>
      <c r="K49" s="291" t="s">
        <v>38</v>
      </c>
      <c r="L49" s="292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A50" s="89"/>
      <c r="B50" s="32"/>
      <c r="C50" s="32"/>
      <c r="D50" s="100" t="s">
        <v>39</v>
      </c>
      <c r="E50" s="100" t="s">
        <v>31</v>
      </c>
      <c r="F50" s="242" t="s">
        <v>39</v>
      </c>
      <c r="G50" s="243"/>
      <c r="H50" s="100" t="s">
        <v>31</v>
      </c>
      <c r="I50" s="100" t="s">
        <v>39</v>
      </c>
      <c r="J50" s="100" t="s">
        <v>31</v>
      </c>
      <c r="K50" s="291" t="s">
        <v>39</v>
      </c>
      <c r="L50" s="292"/>
      <c r="M50"/>
      <c r="N50"/>
      <c r="O50"/>
      <c r="P50"/>
      <c r="Q50"/>
      <c r="R50"/>
      <c r="S50"/>
      <c r="T50"/>
      <c r="U50"/>
      <c r="V50"/>
      <c r="W50"/>
      <c r="X50"/>
    </row>
    <row r="51" spans="1:24">
      <c r="A51" s="89"/>
      <c r="B51" s="32"/>
      <c r="C51" s="32"/>
      <c r="D51" s="101"/>
      <c r="E51" s="101"/>
      <c r="F51" s="297"/>
      <c r="G51" s="298"/>
      <c r="H51" s="101"/>
      <c r="I51" s="101"/>
      <c r="J51" s="101"/>
      <c r="K51" s="293"/>
      <c r="L51" s="294"/>
      <c r="M51"/>
      <c r="N51"/>
      <c r="O51"/>
      <c r="P51"/>
      <c r="Q51"/>
      <c r="R51"/>
      <c r="S51"/>
      <c r="T51"/>
      <c r="U51"/>
      <c r="V51"/>
      <c r="W51"/>
      <c r="X51"/>
    </row>
    <row r="52" spans="1:24">
      <c r="A52" s="104" t="s">
        <v>40</v>
      </c>
      <c r="B52" s="105"/>
      <c r="C52" s="32"/>
      <c r="D52" s="225">
        <f>'[1]Summary Page 1'!$C$33</f>
        <v>9358670</v>
      </c>
      <c r="E52" s="225">
        <f>[1]!F001P100F1000SBBudgFY</f>
        <v>8858670</v>
      </c>
      <c r="F52" s="231">
        <f>'[1]Summary Page 1'!$E$33</f>
        <v>734000</v>
      </c>
      <c r="G52" s="232"/>
      <c r="H52" s="227">
        <f>[1]!F001P100F1000OthBudgFY</f>
        <v>228000</v>
      </c>
      <c r="I52" s="225">
        <f>D52+F52</f>
        <v>10092670</v>
      </c>
      <c r="J52" s="227">
        <f>E52+H52</f>
        <v>9086670</v>
      </c>
      <c r="K52" s="278">
        <f>IF(I52=J52,0,IF(I52&gt;0,(J52-I52)/I52,"--"))</f>
        <v>-9.9676299730398404E-2</v>
      </c>
      <c r="L52" s="295"/>
      <c r="M52"/>
      <c r="N52"/>
      <c r="O52"/>
      <c r="P52"/>
      <c r="Q52"/>
      <c r="R52"/>
      <c r="S52"/>
      <c r="T52"/>
      <c r="U52"/>
      <c r="V52"/>
      <c r="W52"/>
      <c r="X52"/>
    </row>
    <row r="53" spans="1:24" ht="12.75" customHeight="1">
      <c r="A53" s="104" t="s">
        <v>41</v>
      </c>
      <c r="B53" s="105"/>
      <c r="C53" s="32"/>
      <c r="D53" s="226"/>
      <c r="E53" s="226"/>
      <c r="F53" s="233"/>
      <c r="G53" s="234"/>
      <c r="H53" s="228"/>
      <c r="I53" s="226"/>
      <c r="J53" s="228"/>
      <c r="K53" s="280"/>
      <c r="L53" s="296"/>
      <c r="M53"/>
      <c r="N53"/>
      <c r="O53"/>
      <c r="P53"/>
      <c r="Q53"/>
      <c r="R53"/>
      <c r="S53"/>
      <c r="T53"/>
      <c r="U53"/>
      <c r="V53"/>
      <c r="W53"/>
      <c r="X53"/>
    </row>
    <row r="54" spans="1:24">
      <c r="A54" s="104" t="s">
        <v>42</v>
      </c>
      <c r="B54" s="105"/>
      <c r="C54" s="32"/>
      <c r="D54" s="225">
        <f>'[1]Summary Page 1'!$C$35</f>
        <v>501000</v>
      </c>
      <c r="E54" s="227">
        <f>[1]!F001P100F2100SBBudgFY</f>
        <v>420000</v>
      </c>
      <c r="F54" s="231">
        <f>'[1]Summary Page 1'!$E$35</f>
        <v>35000</v>
      </c>
      <c r="G54" s="232"/>
      <c r="H54" s="227">
        <f>[1]!F001P100F2100OthBudgFY</f>
        <v>35000</v>
      </c>
      <c r="I54" s="225">
        <f>D54+F54</f>
        <v>536000</v>
      </c>
      <c r="J54" s="227">
        <f>E54+H54</f>
        <v>455000</v>
      </c>
      <c r="K54" s="278">
        <f>IF(I54=J54,0,IF(I54&gt;0,(J54-I54)/I54,"--"))</f>
        <v>-0.15111940298507462</v>
      </c>
      <c r="L54" s="295"/>
      <c r="M54"/>
      <c r="N54"/>
      <c r="O54"/>
      <c r="P54"/>
      <c r="Q54"/>
      <c r="R54"/>
      <c r="S54"/>
      <c r="T54"/>
      <c r="U54"/>
      <c r="V54"/>
      <c r="W54"/>
      <c r="X54"/>
    </row>
    <row r="55" spans="1:24" ht="12.75" customHeight="1">
      <c r="A55" s="104" t="s">
        <v>43</v>
      </c>
      <c r="B55" s="105"/>
      <c r="C55" s="66"/>
      <c r="D55" s="226"/>
      <c r="E55" s="228"/>
      <c r="F55" s="233"/>
      <c r="G55" s="234"/>
      <c r="H55" s="228"/>
      <c r="I55" s="226"/>
      <c r="J55" s="228"/>
      <c r="K55" s="280"/>
      <c r="L55" s="296"/>
      <c r="M55"/>
      <c r="N55"/>
      <c r="O55"/>
      <c r="P55"/>
      <c r="Q55"/>
      <c r="R55"/>
      <c r="S55"/>
      <c r="T55"/>
      <c r="U55"/>
      <c r="V55"/>
      <c r="W55"/>
      <c r="X55"/>
    </row>
    <row r="56" spans="1:24">
      <c r="A56" s="106" t="s">
        <v>44</v>
      </c>
      <c r="B56" s="107"/>
      <c r="C56" s="32"/>
      <c r="D56" s="108">
        <f>'[1]Summary Page 1'!$C$36</f>
        <v>843000</v>
      </c>
      <c r="E56" s="109">
        <f>[1]!F001P100F2200SBBudgFY</f>
        <v>843000</v>
      </c>
      <c r="F56" s="229">
        <f>'[1]Summary Page 1'!$E$36</f>
        <v>48500</v>
      </c>
      <c r="G56" s="230"/>
      <c r="H56" s="109">
        <f>[1]!F001P100F2200OthBudgFY</f>
        <v>29500</v>
      </c>
      <c r="I56" s="108">
        <f t="shared" ref="I56:I63" si="0">D56+F56</f>
        <v>891500</v>
      </c>
      <c r="J56" s="109">
        <f t="shared" ref="J56:J63" si="1">E56+H56</f>
        <v>872500</v>
      </c>
      <c r="K56" s="276">
        <f t="shared" ref="K56:K65" si="2">IF(I56=J56,0,IF(I56&gt;0,(J56-I56)/I56,"--"))</f>
        <v>-2.131239484015704E-2</v>
      </c>
      <c r="L56" s="289"/>
      <c r="M56"/>
      <c r="N56"/>
      <c r="O56"/>
      <c r="P56"/>
      <c r="Q56"/>
      <c r="R56"/>
      <c r="S56"/>
      <c r="T56"/>
      <c r="U56"/>
      <c r="V56"/>
      <c r="W56"/>
      <c r="X56"/>
    </row>
    <row r="57" spans="1:24">
      <c r="A57" s="106" t="s">
        <v>45</v>
      </c>
      <c r="B57" s="107"/>
      <c r="C57" s="111"/>
      <c r="D57" s="108">
        <f>'[1]Summary Page 1'!$C$37</f>
        <v>2470000</v>
      </c>
      <c r="E57" s="109">
        <f>[1]!F001P100F230024002500SBBudgFY</f>
        <v>2163000</v>
      </c>
      <c r="F57" s="229">
        <f>'[1]Summary Page 1'!$E$37</f>
        <v>250500</v>
      </c>
      <c r="G57" s="230"/>
      <c r="H57" s="109">
        <f>[1]!F001P100F230024002500OthBudgFY</f>
        <v>212500</v>
      </c>
      <c r="I57" s="108">
        <f t="shared" si="0"/>
        <v>2720500</v>
      </c>
      <c r="J57" s="109">
        <f t="shared" si="1"/>
        <v>2375500</v>
      </c>
      <c r="K57" s="276">
        <f t="shared" si="2"/>
        <v>-0.12681492372725603</v>
      </c>
      <c r="L57" s="289"/>
      <c r="M57"/>
      <c r="N57"/>
      <c r="O57"/>
      <c r="P57"/>
      <c r="Q57"/>
      <c r="R57"/>
      <c r="S57"/>
      <c r="T57"/>
      <c r="U57"/>
      <c r="V57"/>
      <c r="W57"/>
      <c r="X57"/>
    </row>
    <row r="58" spans="1:24">
      <c r="A58" s="106" t="s">
        <v>46</v>
      </c>
      <c r="B58" s="107"/>
      <c r="C58" s="61"/>
      <c r="D58" s="108">
        <f>'[1]Summary Page 1'!$C$38</f>
        <v>1576000</v>
      </c>
      <c r="E58" s="109">
        <f>[1]!F001P100F2600SBBudgFY</f>
        <v>1100000</v>
      </c>
      <c r="F58" s="229">
        <f>'[1]Summary Page 1'!$E$38</f>
        <v>1524000</v>
      </c>
      <c r="G58" s="230"/>
      <c r="H58" s="108">
        <f>[1]!F001P100F2600OthBudgFY</f>
        <v>1417740</v>
      </c>
      <c r="I58" s="108">
        <f t="shared" si="0"/>
        <v>3100000</v>
      </c>
      <c r="J58" s="109">
        <f t="shared" si="1"/>
        <v>2517740</v>
      </c>
      <c r="K58" s="276">
        <f t="shared" si="2"/>
        <v>-0.1878258064516129</v>
      </c>
      <c r="L58" s="289"/>
      <c r="M58"/>
      <c r="N58"/>
      <c r="O58"/>
      <c r="P58"/>
      <c r="Q58"/>
      <c r="R58"/>
      <c r="S58"/>
      <c r="T58"/>
      <c r="U58"/>
      <c r="V58"/>
      <c r="W58"/>
      <c r="X58"/>
    </row>
    <row r="59" spans="1:24">
      <c r="A59" s="104" t="s">
        <v>47</v>
      </c>
      <c r="B59" s="105"/>
      <c r="C59" s="32"/>
      <c r="D59" s="108">
        <f>'[1]Summary Page 1'!$C$39</f>
        <v>0</v>
      </c>
      <c r="E59" s="109">
        <f>[1]!F001P100F2900SBBudgFY</f>
        <v>0</v>
      </c>
      <c r="F59" s="229">
        <f>'[1]Summary Page 1'!$E$39</f>
        <v>0</v>
      </c>
      <c r="G59" s="230"/>
      <c r="H59" s="108">
        <f>[1]!F001P100F2900OthBudgFY</f>
        <v>0</v>
      </c>
      <c r="I59" s="108">
        <f t="shared" si="0"/>
        <v>0</v>
      </c>
      <c r="J59" s="109">
        <f t="shared" si="1"/>
        <v>0</v>
      </c>
      <c r="K59" s="276">
        <f t="shared" si="2"/>
        <v>0</v>
      </c>
      <c r="L59" s="289"/>
      <c r="M59"/>
      <c r="N59"/>
      <c r="O59"/>
      <c r="P59"/>
      <c r="Q59"/>
      <c r="R59"/>
      <c r="S59"/>
      <c r="T59"/>
      <c r="U59"/>
      <c r="V59"/>
      <c r="W59"/>
      <c r="X59"/>
    </row>
    <row r="60" spans="1:24">
      <c r="A60" s="104" t="s">
        <v>48</v>
      </c>
      <c r="B60" s="105"/>
      <c r="C60" s="32"/>
      <c r="D60" s="108">
        <f>'[1]Summary Page 1'!$C$40</f>
        <v>0</v>
      </c>
      <c r="E60" s="109">
        <f>[1]!F001P100F3000SBBudgFY</f>
        <v>0</v>
      </c>
      <c r="F60" s="229">
        <f>'[1]Summary Page 1'!$E$40</f>
        <v>75000</v>
      </c>
      <c r="G60" s="230"/>
      <c r="H60" s="108">
        <f>[1]!F001P100F3000OthBudgFY</f>
        <v>75000</v>
      </c>
      <c r="I60" s="108">
        <f t="shared" si="0"/>
        <v>75000</v>
      </c>
      <c r="J60" s="109">
        <f t="shared" si="1"/>
        <v>75000</v>
      </c>
      <c r="K60" s="276">
        <f t="shared" si="2"/>
        <v>0</v>
      </c>
      <c r="L60" s="289"/>
      <c r="M60"/>
      <c r="N60"/>
      <c r="O60"/>
      <c r="P60"/>
      <c r="Q60"/>
      <c r="R60"/>
      <c r="S60"/>
      <c r="T60"/>
      <c r="U60"/>
      <c r="V60"/>
      <c r="W60"/>
      <c r="X60"/>
    </row>
    <row r="61" spans="1:24">
      <c r="A61" s="89" t="s">
        <v>49</v>
      </c>
      <c r="B61" s="32"/>
      <c r="C61" s="32"/>
      <c r="D61" s="108">
        <f>'[1]Summary Page 1'!$C$41</f>
        <v>0</v>
      </c>
      <c r="E61" s="109">
        <f>[1]!F001P610SBBudgFY</f>
        <v>0</v>
      </c>
      <c r="F61" s="229">
        <f>'[1]Summary Page 1'!$E$41</f>
        <v>0</v>
      </c>
      <c r="G61" s="230"/>
      <c r="H61" s="108">
        <f>[1]!F001P610OthBudgFY</f>
        <v>0</v>
      </c>
      <c r="I61" s="108">
        <f t="shared" si="0"/>
        <v>0</v>
      </c>
      <c r="J61" s="109">
        <f t="shared" si="1"/>
        <v>0</v>
      </c>
      <c r="K61" s="276">
        <f t="shared" si="2"/>
        <v>0</v>
      </c>
      <c r="L61" s="277"/>
      <c r="M61"/>
      <c r="N61"/>
      <c r="O61"/>
      <c r="P61"/>
      <c r="Q61"/>
      <c r="R61"/>
      <c r="S61"/>
      <c r="T61"/>
      <c r="U61"/>
      <c r="V61"/>
      <c r="W61"/>
      <c r="X61"/>
    </row>
    <row r="62" spans="1:24">
      <c r="A62" s="89" t="s">
        <v>50</v>
      </c>
      <c r="B62" s="32"/>
      <c r="C62" s="32"/>
      <c r="D62" s="108">
        <f>'[1]Summary Page 1'!$C$42</f>
        <v>15500</v>
      </c>
      <c r="E62" s="109">
        <f>[1]!F001P620SBBudgFY</f>
        <v>15500</v>
      </c>
      <c r="F62" s="229">
        <f>'[1]Summary Page 1'!$E$42</f>
        <v>6100</v>
      </c>
      <c r="G62" s="230"/>
      <c r="H62" s="108">
        <f>[1]!F001P620OthBudgFY</f>
        <v>6100</v>
      </c>
      <c r="I62" s="108">
        <f t="shared" si="0"/>
        <v>21600</v>
      </c>
      <c r="J62" s="109">
        <f t="shared" si="1"/>
        <v>21600</v>
      </c>
      <c r="K62" s="276">
        <f t="shared" si="2"/>
        <v>0</v>
      </c>
      <c r="L62" s="277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 s="89" t="s">
        <v>51</v>
      </c>
      <c r="B63" s="32"/>
      <c r="C63" s="32"/>
      <c r="D63" s="108">
        <f>'[1]Summary Page 1'!$C$43</f>
        <v>0</v>
      </c>
      <c r="E63" s="112">
        <f>[1]!F001P630700800900SBBudgFY</f>
        <v>0</v>
      </c>
      <c r="F63" s="282">
        <f>'[1]Summary Page 1'!$E$43</f>
        <v>0</v>
      </c>
      <c r="G63" s="283"/>
      <c r="H63" s="114">
        <f>[1]!F001P630700800900OthBudgFY</f>
        <v>0</v>
      </c>
      <c r="I63" s="114">
        <f t="shared" si="0"/>
        <v>0</v>
      </c>
      <c r="J63" s="112">
        <f t="shared" si="1"/>
        <v>0</v>
      </c>
      <c r="K63" s="276">
        <f t="shared" si="2"/>
        <v>0</v>
      </c>
      <c r="L63" s="277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15" t="s">
        <v>52</v>
      </c>
      <c r="B64" s="116"/>
      <c r="C64" s="90"/>
      <c r="D64" s="109">
        <f t="shared" ref="D64" si="3">SUM(D52:D63)</f>
        <v>14764170</v>
      </c>
      <c r="E64" s="109">
        <f t="shared" ref="E64:J64" si="4">SUM(E52:E63)</f>
        <v>13400170</v>
      </c>
      <c r="F64" s="229">
        <f t="shared" si="4"/>
        <v>2673100</v>
      </c>
      <c r="G64" s="230"/>
      <c r="H64" s="109">
        <f>SUM(H52:H63)</f>
        <v>2003840</v>
      </c>
      <c r="I64" s="109">
        <f t="shared" si="4"/>
        <v>17437270</v>
      </c>
      <c r="J64" s="109">
        <f t="shared" si="4"/>
        <v>15404010</v>
      </c>
      <c r="K64" s="276">
        <f t="shared" si="2"/>
        <v>-0.11660426202037361</v>
      </c>
      <c r="L64" s="277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 s="104" t="s">
        <v>53</v>
      </c>
      <c r="B65" s="105"/>
      <c r="C65" s="32"/>
      <c r="D65" s="225">
        <f>'[1]Summary Page 1'!$C$46</f>
        <v>2400000</v>
      </c>
      <c r="E65" s="227">
        <f>[1]!F001P200F1000SBBudgFY</f>
        <v>2280000</v>
      </c>
      <c r="F65" s="231">
        <f>'[1]Summary Page 1'!$E$46</f>
        <v>1033000</v>
      </c>
      <c r="G65" s="232"/>
      <c r="H65" s="227">
        <f>[1]!F001P200F1000OthBudgFY</f>
        <v>533000</v>
      </c>
      <c r="I65" s="225">
        <f>D65+F65</f>
        <v>3433000</v>
      </c>
      <c r="J65" s="227">
        <f>E65+H65</f>
        <v>2813000</v>
      </c>
      <c r="K65" s="278">
        <f t="shared" si="2"/>
        <v>-0.18060005825808331</v>
      </c>
      <c r="L65" s="279"/>
      <c r="M65"/>
      <c r="N65"/>
      <c r="O65"/>
      <c r="P65"/>
      <c r="Q65"/>
      <c r="R65"/>
      <c r="S65"/>
      <c r="T65"/>
      <c r="U65"/>
      <c r="V65"/>
      <c r="W65"/>
      <c r="X65"/>
    </row>
    <row r="66" spans="1:24" ht="12.75" customHeight="1">
      <c r="A66" s="104" t="s">
        <v>41</v>
      </c>
      <c r="B66" s="105"/>
      <c r="C66" s="32"/>
      <c r="D66" s="226"/>
      <c r="E66" s="228"/>
      <c r="F66" s="233"/>
      <c r="G66" s="234"/>
      <c r="H66" s="228"/>
      <c r="I66" s="226"/>
      <c r="J66" s="228"/>
      <c r="K66" s="280"/>
      <c r="L66" s="281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 s="104" t="s">
        <v>42</v>
      </c>
      <c r="B67" s="105"/>
      <c r="C67" s="32"/>
      <c r="D67" s="225">
        <f>'[1]Summary Page 1'!$C$48</f>
        <v>889000</v>
      </c>
      <c r="E67" s="227">
        <f>[1]!F001P200F2100SBBudgFY</f>
        <v>789000</v>
      </c>
      <c r="F67" s="231">
        <f>'[1]Summary Page 1'!$E$48</f>
        <v>361000</v>
      </c>
      <c r="G67" s="232"/>
      <c r="H67" s="227">
        <f>[1]!F001P200F2100OthBudgFY</f>
        <v>259000</v>
      </c>
      <c r="I67" s="225">
        <f>D67+F67</f>
        <v>1250000</v>
      </c>
      <c r="J67" s="227">
        <f>E67+H67</f>
        <v>1048000</v>
      </c>
      <c r="K67" s="278">
        <f>IF(I67=J67,0,IF(I67&gt;0,(J67-I67)/I67,"--"))</f>
        <v>-0.16159999999999999</v>
      </c>
      <c r="L67" s="279"/>
      <c r="M67"/>
      <c r="N67"/>
      <c r="O67"/>
      <c r="P67"/>
      <c r="Q67"/>
      <c r="R67"/>
      <c r="S67"/>
      <c r="T67"/>
      <c r="U67"/>
      <c r="V67"/>
      <c r="W67"/>
      <c r="X67"/>
    </row>
    <row r="68" spans="1:24" ht="12.75" customHeight="1">
      <c r="A68" s="104" t="s">
        <v>43</v>
      </c>
      <c r="B68" s="105"/>
      <c r="C68" s="66"/>
      <c r="D68" s="226"/>
      <c r="E68" s="228"/>
      <c r="F68" s="233"/>
      <c r="G68" s="234"/>
      <c r="H68" s="228"/>
      <c r="I68" s="228"/>
      <c r="J68" s="228"/>
      <c r="K68" s="280"/>
      <c r="L68" s="281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 s="106" t="s">
        <v>44</v>
      </c>
      <c r="B69" s="107"/>
      <c r="C69" s="32"/>
      <c r="D69" s="108">
        <f>'[1]Summary Page 1'!$C$49</f>
        <v>249000</v>
      </c>
      <c r="E69" s="108">
        <f>[1]!F001P200F2200SBBudgFY</f>
        <v>249000</v>
      </c>
      <c r="F69" s="229">
        <f>'[1]Summary Page 1'!$E$49</f>
        <v>7000</v>
      </c>
      <c r="G69" s="230"/>
      <c r="H69" s="109">
        <f>[1]!F001P200F2200OthBudgFY</f>
        <v>7000</v>
      </c>
      <c r="I69" s="108">
        <f>D69+F69</f>
        <v>256000</v>
      </c>
      <c r="J69" s="109">
        <f>E69+H69</f>
        <v>256000</v>
      </c>
      <c r="K69" s="276">
        <f t="shared" ref="K69:K78" si="5">IF(I69=J69,0,IF(I69&gt;0,(J69-I69)/I69,"--"))</f>
        <v>0</v>
      </c>
      <c r="L69" s="277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 s="106" t="s">
        <v>45</v>
      </c>
      <c r="B70" s="107"/>
      <c r="C70" s="111"/>
      <c r="D70" s="108">
        <f>'[1]Summary Page 1'!$C$50</f>
        <v>0</v>
      </c>
      <c r="E70" s="108">
        <f>[1]!F001P200F230024002500SBBudgFY</f>
        <v>0</v>
      </c>
      <c r="F70" s="229">
        <f>'[1]Summary Page 1'!$E$50</f>
        <v>2500</v>
      </c>
      <c r="G70" s="230"/>
      <c r="H70" s="108">
        <f>[1]!F001P200F230024002500OthBudgFY</f>
        <v>2500</v>
      </c>
      <c r="I70" s="108">
        <f>D70+F70</f>
        <v>2500</v>
      </c>
      <c r="J70" s="109">
        <f>E70+H70</f>
        <v>2500</v>
      </c>
      <c r="K70" s="276">
        <f t="shared" si="5"/>
        <v>0</v>
      </c>
      <c r="L70" s="277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 s="106" t="s">
        <v>46</v>
      </c>
      <c r="B71" s="107"/>
      <c r="C71" s="61"/>
      <c r="D71" s="108">
        <f>'[1]Summary Page 1'!$C$51</f>
        <v>0</v>
      </c>
      <c r="E71" s="108">
        <f>[1]!F001P200F2600SBBudgFY</f>
        <v>0</v>
      </c>
      <c r="F71" s="229">
        <f>'[1]Summary Page 1'!$E$51</f>
        <v>500</v>
      </c>
      <c r="G71" s="230"/>
      <c r="H71" s="108">
        <f>[1]!F001P200F2600OthBudgFY</f>
        <v>500</v>
      </c>
      <c r="I71" s="108">
        <f>D71+F71</f>
        <v>500</v>
      </c>
      <c r="J71" s="109">
        <f>E71+H71</f>
        <v>500</v>
      </c>
      <c r="K71" s="276">
        <f t="shared" si="5"/>
        <v>0</v>
      </c>
      <c r="L71" s="277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 s="104" t="s">
        <v>47</v>
      </c>
      <c r="B72" s="105"/>
      <c r="C72" s="32"/>
      <c r="D72" s="108">
        <f>'[1]Summary Page 1'!$C$52</f>
        <v>0</v>
      </c>
      <c r="E72" s="108">
        <f>[1]!F001P200F2900SBBudgFY</f>
        <v>0</v>
      </c>
      <c r="F72" s="229">
        <f>'[1]Summary Page 1'!$E$52</f>
        <v>0</v>
      </c>
      <c r="G72" s="230"/>
      <c r="H72" s="108">
        <f>[1]!F001P200F2900OthBudgFY</f>
        <v>0</v>
      </c>
      <c r="I72" s="108">
        <f>D72+F72</f>
        <v>0</v>
      </c>
      <c r="J72" s="109">
        <f>E72+H72</f>
        <v>0</v>
      </c>
      <c r="K72" s="276">
        <f t="shared" si="5"/>
        <v>0</v>
      </c>
      <c r="L72" s="277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 s="104" t="s">
        <v>48</v>
      </c>
      <c r="B73" s="105"/>
      <c r="C73" s="32"/>
      <c r="D73" s="108">
        <f>'[1]Summary Page 1'!$C$53</f>
        <v>0</v>
      </c>
      <c r="E73" s="108">
        <f>[1]!F001P200F3000SBBudgFY</f>
        <v>0</v>
      </c>
      <c r="F73" s="229">
        <f>'[1]Summary Page 1'!$E$53</f>
        <v>0</v>
      </c>
      <c r="G73" s="230"/>
      <c r="H73" s="108">
        <f>[1]!F001P200F3000OthBudgFY</f>
        <v>0</v>
      </c>
      <c r="I73" s="108">
        <f>D73+F73</f>
        <v>0</v>
      </c>
      <c r="J73" s="109">
        <f>E73+H73</f>
        <v>0</v>
      </c>
      <c r="K73" s="276">
        <f t="shared" si="5"/>
        <v>0</v>
      </c>
      <c r="L73" s="277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 s="115" t="s">
        <v>54</v>
      </c>
      <c r="B74" s="116"/>
      <c r="C74" s="32"/>
      <c r="D74" s="117">
        <f t="shared" ref="D74" si="6">SUM(D65:D73)</f>
        <v>3538000</v>
      </c>
      <c r="E74" s="117">
        <f t="shared" ref="E74:J74" si="7">SUM(E65:E73)</f>
        <v>3318000</v>
      </c>
      <c r="F74" s="299">
        <f t="shared" si="7"/>
        <v>1404000</v>
      </c>
      <c r="G74" s="300"/>
      <c r="H74" s="117">
        <f t="shared" si="7"/>
        <v>802000</v>
      </c>
      <c r="I74" s="108">
        <f t="shared" si="7"/>
        <v>4942000</v>
      </c>
      <c r="J74" s="108">
        <f t="shared" si="7"/>
        <v>4120000</v>
      </c>
      <c r="K74" s="276">
        <f t="shared" si="5"/>
        <v>-0.16632942128692838</v>
      </c>
      <c r="L74" s="277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 s="118" t="s">
        <v>55</v>
      </c>
      <c r="B75" s="119"/>
      <c r="C75" s="119"/>
      <c r="D75" s="108">
        <f>'[1]Summary Page 1'!$C$55</f>
        <v>1229000</v>
      </c>
      <c r="E75" s="117">
        <f>[1]!F001P400SBBudgFY</f>
        <v>1075000</v>
      </c>
      <c r="F75" s="229">
        <f>'[1]Summary Page 1'!$E$55</f>
        <v>433000</v>
      </c>
      <c r="G75" s="230"/>
      <c r="H75" s="117">
        <f>[1]!F001P400OthBudgFy</f>
        <v>433000</v>
      </c>
      <c r="I75" s="108">
        <f>D75+F75</f>
        <v>1662000</v>
      </c>
      <c r="J75" s="109">
        <f>E75+H75</f>
        <v>1508000</v>
      </c>
      <c r="K75" s="276">
        <f t="shared" si="5"/>
        <v>-9.2659446450060162E-2</v>
      </c>
      <c r="L75" s="277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20" t="s">
        <v>56</v>
      </c>
      <c r="B76" s="28"/>
      <c r="C76" s="28"/>
      <c r="D76" s="114">
        <f>'[1]Summary Page 1'!$C$56</f>
        <v>0</v>
      </c>
      <c r="E76" s="121">
        <f>[1]!F001P510SBBudgFY</f>
        <v>0</v>
      </c>
      <c r="F76" s="282">
        <f>'[1]Summary Page 1'!$E$56</f>
        <v>0</v>
      </c>
      <c r="G76" s="283"/>
      <c r="H76" s="121">
        <f>[1]!F001P510OthBudgFY</f>
        <v>0</v>
      </c>
      <c r="I76" s="114">
        <f>D76+F76</f>
        <v>0</v>
      </c>
      <c r="J76" s="112">
        <f>E76+H76</f>
        <v>0</v>
      </c>
      <c r="K76" s="302">
        <f t="shared" si="5"/>
        <v>0</v>
      </c>
      <c r="L76" s="303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18" t="s">
        <v>57</v>
      </c>
      <c r="B77" s="119"/>
      <c r="C77" s="119"/>
      <c r="D77" s="108">
        <f>'[1]Summary Page 1'!$C$57</f>
        <v>0</v>
      </c>
      <c r="E77" s="117">
        <f>[1]!F001P530SBBudgFY</f>
        <v>0</v>
      </c>
      <c r="F77" s="229">
        <f>'[1]Summary Page 1'!$E$57</f>
        <v>0</v>
      </c>
      <c r="G77" s="230"/>
      <c r="H77" s="117">
        <f>[1]!F001P530OthBudgFY</f>
        <v>0</v>
      </c>
      <c r="I77" s="108">
        <f>D77+F77</f>
        <v>0</v>
      </c>
      <c r="J77" s="109">
        <f>E77+H77</f>
        <v>0</v>
      </c>
      <c r="K77" s="276">
        <f t="shared" si="5"/>
        <v>0</v>
      </c>
      <c r="L77" s="277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118" t="s">
        <v>58</v>
      </c>
      <c r="B78" s="119"/>
      <c r="C78" s="122"/>
      <c r="D78" s="225">
        <f>'[1]Summary Page 1'!$C$58</f>
        <v>0</v>
      </c>
      <c r="E78" s="250">
        <f>[1]!F001P540SBBudgFY</f>
        <v>0</v>
      </c>
      <c r="F78" s="231">
        <f>'[1]Summary Page 1'!$E$58</f>
        <v>0</v>
      </c>
      <c r="G78" s="232"/>
      <c r="H78" s="250">
        <f>[1]!F001P540OthBudgFY</f>
        <v>0</v>
      </c>
      <c r="I78" s="225">
        <f>D78+F78</f>
        <v>0</v>
      </c>
      <c r="J78" s="225">
        <f>E78+H78</f>
        <v>0</v>
      </c>
      <c r="K78" s="278">
        <f t="shared" si="5"/>
        <v>0</v>
      </c>
      <c r="L78" s="279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18" t="s">
        <v>59</v>
      </c>
      <c r="B79" s="119"/>
      <c r="C79" s="122"/>
      <c r="D79" s="238"/>
      <c r="E79" s="251"/>
      <c r="F79" s="233"/>
      <c r="G79" s="234"/>
      <c r="H79" s="251"/>
      <c r="I79" s="238"/>
      <c r="J79" s="238"/>
      <c r="K79" s="280"/>
      <c r="L79" s="281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120" t="s">
        <v>60</v>
      </c>
      <c r="B80" s="28"/>
      <c r="C80" s="122"/>
      <c r="D80" s="108">
        <f>'[1]Summary Page 1'!$C$60</f>
        <v>202490</v>
      </c>
      <c r="E80" s="123">
        <f>[1]!F001P550SBBudgFY</f>
        <v>202490</v>
      </c>
      <c r="F80" s="229">
        <f>'[1]Summary Page 1'!$E$60</f>
        <v>0</v>
      </c>
      <c r="G80" s="230"/>
      <c r="H80" s="123">
        <f>[1]!F001P550OthBudgFY</f>
        <v>0</v>
      </c>
      <c r="I80" s="108">
        <f>D80+F80</f>
        <v>202490</v>
      </c>
      <c r="J80" s="112">
        <f>E80+H80</f>
        <v>202490</v>
      </c>
      <c r="K80" s="302">
        <f>IF(I80=J80,0,IF(I80&gt;0,(J80-I80)/I80,"--"))</f>
        <v>0</v>
      </c>
      <c r="L80" s="303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120" t="s">
        <v>64</v>
      </c>
      <c r="B81" s="28"/>
      <c r="C81" s="122"/>
      <c r="D81" s="182">
        <f>SUM(D74:D80)+D64</f>
        <v>19733660</v>
      </c>
      <c r="E81" s="183">
        <f>SUM(E74:E80)+E64</f>
        <v>17995660</v>
      </c>
      <c r="F81" s="305">
        <f>SUM(F74:F80)+F64</f>
        <v>4510100</v>
      </c>
      <c r="G81" s="306"/>
      <c r="H81" s="183">
        <f>SUM(H74:H80)+H64</f>
        <v>3238840</v>
      </c>
      <c r="I81" s="183">
        <f>SUM(I74:I80)+I64</f>
        <v>24243760</v>
      </c>
      <c r="J81" s="183">
        <f>SUM(J74:J80)+J64</f>
        <v>21234500</v>
      </c>
      <c r="K81" s="278">
        <f>IF(I81=J81,0,IF(I81&gt;0,(J81-I81)/I81,"--"))</f>
        <v>-0.12412513570502265</v>
      </c>
      <c r="L81" s="279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191" t="s">
        <v>141</v>
      </c>
      <c r="B82" s="191"/>
      <c r="C82" s="192"/>
      <c r="D82" s="187"/>
      <c r="E82" s="187"/>
      <c r="F82" s="310"/>
      <c r="G82" s="310"/>
      <c r="H82" s="187"/>
      <c r="I82" s="187"/>
      <c r="J82" s="186">
        <f>'[1]Page 1'!L43</f>
        <v>1800000</v>
      </c>
      <c r="K82" s="310"/>
      <c r="L82" s="310"/>
      <c r="M82"/>
      <c r="N82"/>
      <c r="O82"/>
      <c r="P82"/>
      <c r="Q82"/>
      <c r="R82"/>
      <c r="S82"/>
      <c r="T82"/>
      <c r="U82"/>
      <c r="V82"/>
      <c r="W82"/>
      <c r="X82"/>
    </row>
    <row r="83" spans="1:24">
      <c r="A83" s="124" t="s">
        <v>142</v>
      </c>
      <c r="B83" s="78"/>
      <c r="C83" s="125"/>
      <c r="D83" s="184">
        <f>D81</f>
        <v>19733660</v>
      </c>
      <c r="E83" s="184">
        <f>E81</f>
        <v>17995660</v>
      </c>
      <c r="F83" s="307">
        <f>F81</f>
        <v>4510100</v>
      </c>
      <c r="G83" s="308"/>
      <c r="H83" s="184">
        <f>H81</f>
        <v>3238840</v>
      </c>
      <c r="I83" s="184">
        <f>I81</f>
        <v>24243760</v>
      </c>
      <c r="J83" s="185">
        <f>J81+J82</f>
        <v>23034500</v>
      </c>
      <c r="K83" s="309">
        <f>IF(I83=J83,0,IF(I83&gt;0,(J83-I83)/I83,"--"))</f>
        <v>-4.9879226654611329E-2</v>
      </c>
      <c r="L83" s="309"/>
      <c r="M83"/>
      <c r="N83"/>
      <c r="O83"/>
      <c r="P83"/>
      <c r="Q83"/>
      <c r="R83"/>
      <c r="S83"/>
      <c r="T83"/>
      <c r="U83"/>
      <c r="V83"/>
      <c r="W83"/>
      <c r="X83"/>
    </row>
    <row r="84" spans="1:24">
      <c r="A84" s="66"/>
      <c r="B84" s="66"/>
      <c r="C84" s="29"/>
      <c r="D84" s="126"/>
      <c r="E84" s="126"/>
      <c r="F84" s="126"/>
      <c r="G84" s="126"/>
      <c r="H84" s="126"/>
      <c r="I84" s="126"/>
      <c r="J84" s="126"/>
      <c r="K84" s="126"/>
      <c r="L84" s="188"/>
      <c r="M84"/>
      <c r="N84"/>
      <c r="O84"/>
      <c r="P84"/>
      <c r="Q84"/>
      <c r="R84"/>
      <c r="S84"/>
      <c r="T84"/>
      <c r="U84"/>
      <c r="V84"/>
      <c r="W84"/>
      <c r="X84"/>
    </row>
    <row r="85" spans="1:24" ht="12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2.75" customHeight="1">
      <c r="A86" s="239" t="s">
        <v>61</v>
      </c>
      <c r="B86" s="240"/>
      <c r="C86" s="240"/>
      <c r="D86" s="240"/>
      <c r="E86" s="240"/>
      <c r="F86" s="240"/>
      <c r="G86" s="241"/>
      <c r="H86" s="127"/>
      <c r="I86" s="127"/>
      <c r="J86" s="30"/>
      <c r="K86" s="30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2.75" customHeight="1">
      <c r="A87" s="42"/>
      <c r="B87" s="32"/>
      <c r="C87" s="99"/>
      <c r="D87" s="128"/>
      <c r="E87" s="99" t="s">
        <v>62</v>
      </c>
      <c r="F87" s="242" t="s">
        <v>63</v>
      </c>
      <c r="G87" s="243"/>
      <c r="H87" s="129"/>
      <c r="I87" s="129"/>
      <c r="J87" s="129"/>
      <c r="K87" s="129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2.75" customHeight="1">
      <c r="A88" s="42"/>
      <c r="B88" s="32"/>
      <c r="C88" s="95" t="s">
        <v>64</v>
      </c>
      <c r="D88" s="96"/>
      <c r="E88" s="99" t="s">
        <v>65</v>
      </c>
      <c r="F88" s="291" t="s">
        <v>65</v>
      </c>
      <c r="G88" s="301"/>
      <c r="H88" s="129"/>
      <c r="I88" s="129"/>
      <c r="J88" s="129"/>
      <c r="K88" s="129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2.75" customHeight="1">
      <c r="A89" s="130" t="s">
        <v>66</v>
      </c>
      <c r="B89" s="32"/>
      <c r="C89" s="94"/>
      <c r="D89" s="100"/>
      <c r="E89" s="99" t="s">
        <v>38</v>
      </c>
      <c r="F89" s="291" t="s">
        <v>38</v>
      </c>
      <c r="G89" s="301"/>
      <c r="H89" s="129"/>
      <c r="I89" s="129"/>
      <c r="J89" s="129"/>
      <c r="K89" s="12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2.75" customHeight="1">
      <c r="A90" s="102"/>
      <c r="B90" s="131"/>
      <c r="C90" s="103" t="s">
        <v>39</v>
      </c>
      <c r="D90" s="132" t="s">
        <v>31</v>
      </c>
      <c r="E90" s="103" t="s">
        <v>67</v>
      </c>
      <c r="F90" s="293" t="s">
        <v>39</v>
      </c>
      <c r="G90" s="304"/>
      <c r="H90" s="129"/>
      <c r="I90" s="129"/>
      <c r="J90" s="129"/>
      <c r="K90" s="129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2.75" customHeight="1">
      <c r="A91" s="133" t="s">
        <v>68</v>
      </c>
      <c r="B91" s="134"/>
      <c r="C91" s="135">
        <f>[1]!SummMOPY</f>
        <v>24243760</v>
      </c>
      <c r="D91" s="135">
        <f>[1]!SummMOBY</f>
        <v>21234500</v>
      </c>
      <c r="E91" s="133">
        <f t="shared" ref="E91:E106" si="8">D91-C91</f>
        <v>-3009260</v>
      </c>
      <c r="F91" s="244">
        <f t="shared" ref="F91:F106" si="9">IF(C91=D91,0,IF(C91&gt;0,E91/C91,"--"))</f>
        <v>-0.12412513570502265</v>
      </c>
      <c r="G91" s="245"/>
      <c r="H91" s="129"/>
      <c r="I91" s="129"/>
      <c r="J91" s="129"/>
      <c r="K91" s="129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2.75" customHeight="1">
      <c r="A92" s="136" t="s">
        <v>69</v>
      </c>
      <c r="B92" s="137"/>
      <c r="C92" s="138">
        <f>[1]!SummInstImprovPY</f>
        <v>170000</v>
      </c>
      <c r="D92" s="138">
        <f>[1]!SummInstImprovBY</f>
        <v>200000</v>
      </c>
      <c r="E92" s="133">
        <f t="shared" si="8"/>
        <v>30000</v>
      </c>
      <c r="F92" s="244">
        <f t="shared" si="9"/>
        <v>0.17647058823529413</v>
      </c>
      <c r="G92" s="245"/>
      <c r="H92" s="129"/>
      <c r="I92" s="129"/>
      <c r="J92" s="129"/>
      <c r="K92" s="129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2.75" customHeight="1">
      <c r="A93" s="136" t="s">
        <v>125</v>
      </c>
      <c r="B93" s="137"/>
      <c r="C93" s="138">
        <f>[1]!SummELLPY</f>
        <v>45000</v>
      </c>
      <c r="D93" s="114">
        <f>[1]!SummELLBY</f>
        <v>45000</v>
      </c>
      <c r="E93" s="133">
        <f t="shared" si="8"/>
        <v>0</v>
      </c>
      <c r="F93" s="244">
        <f t="shared" si="9"/>
        <v>0</v>
      </c>
      <c r="G93" s="245"/>
      <c r="H93" s="129"/>
      <c r="I93" s="129"/>
      <c r="J93" s="129"/>
      <c r="K93" s="129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2.75" customHeight="1">
      <c r="A94" s="136" t="s">
        <v>70</v>
      </c>
      <c r="B94" s="137"/>
      <c r="C94" s="138">
        <f>[1]!SummCompInstrPY</f>
        <v>0</v>
      </c>
      <c r="D94" s="114">
        <f>[1]!SummCompInstrBY</f>
        <v>0</v>
      </c>
      <c r="E94" s="139">
        <f t="shared" si="8"/>
        <v>0</v>
      </c>
      <c r="F94" s="284">
        <f t="shared" si="9"/>
        <v>0</v>
      </c>
      <c r="G94" s="285"/>
      <c r="H94" s="129"/>
      <c r="I94" s="129"/>
      <c r="J94" s="129"/>
      <c r="K94" s="129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2.75" customHeight="1">
      <c r="A95" s="140" t="s">
        <v>71</v>
      </c>
      <c r="B95" s="141"/>
      <c r="C95" s="142">
        <f>[1]!SummCSFPY</f>
        <v>5002721</v>
      </c>
      <c r="D95" s="142">
        <f>[1]!SummCSFBY</f>
        <v>2386674</v>
      </c>
      <c r="E95" s="139">
        <f t="shared" si="8"/>
        <v>-2616047</v>
      </c>
      <c r="F95" s="284">
        <f t="shared" si="9"/>
        <v>-0.52292482431061016</v>
      </c>
      <c r="G95" s="285"/>
      <c r="H95" s="129"/>
      <c r="I95" s="129"/>
      <c r="J95" s="129"/>
      <c r="K95" s="129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2.75" customHeight="1">
      <c r="A96" s="143" t="s">
        <v>72</v>
      </c>
      <c r="B96" s="144"/>
      <c r="C96" s="109">
        <f>[1]!SummFedProjectsPY</f>
        <v>10139045</v>
      </c>
      <c r="D96" s="109">
        <f>[1]!SummFedProjectsBY</f>
        <v>10014045</v>
      </c>
      <c r="E96" s="145">
        <f t="shared" si="8"/>
        <v>-125000</v>
      </c>
      <c r="F96" s="284">
        <f t="shared" si="9"/>
        <v>-1.2328577296974222E-2</v>
      </c>
      <c r="G96" s="285"/>
      <c r="H96" s="129"/>
      <c r="I96" s="129"/>
      <c r="J96" s="129"/>
      <c r="K96" s="129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2.75" customHeight="1">
      <c r="A97" s="146" t="s">
        <v>73</v>
      </c>
      <c r="B97" s="147"/>
      <c r="C97" s="108">
        <f>[1]!SummStateProjectsPY</f>
        <v>1260000</v>
      </c>
      <c r="D97" s="108">
        <f>[1]!SummStateProjectsBY</f>
        <v>1260000</v>
      </c>
      <c r="E97" s="110">
        <f t="shared" si="8"/>
        <v>0</v>
      </c>
      <c r="F97" s="284">
        <f t="shared" si="9"/>
        <v>0</v>
      </c>
      <c r="G97" s="285"/>
      <c r="H97" s="129"/>
      <c r="I97" s="129"/>
      <c r="J97" s="129"/>
      <c r="K97" s="129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2.75" customHeight="1">
      <c r="A98" s="143" t="s">
        <v>74</v>
      </c>
      <c r="B98" s="144"/>
      <c r="C98" s="108">
        <f>[1]!SummUCOPY</f>
        <v>6315445</v>
      </c>
      <c r="D98" s="108">
        <f>[1]!SummUCOBY</f>
        <v>3506213</v>
      </c>
      <c r="E98" s="110">
        <f t="shared" si="8"/>
        <v>-2809232</v>
      </c>
      <c r="F98" s="284">
        <f t="shared" si="9"/>
        <v>-0.44481932785417339</v>
      </c>
      <c r="G98" s="285"/>
      <c r="H98" s="29"/>
      <c r="I98" s="29"/>
      <c r="J98" s="29"/>
      <c r="K98" s="29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2.75" customHeight="1">
      <c r="A99" s="143" t="s">
        <v>75</v>
      </c>
      <c r="B99" s="144"/>
      <c r="C99" s="108">
        <f>[1]!SummNSFPY</f>
        <v>0</v>
      </c>
      <c r="D99" s="108">
        <f>[1]!SummNSFBY</f>
        <v>0</v>
      </c>
      <c r="E99" s="110">
        <f t="shared" si="8"/>
        <v>0</v>
      </c>
      <c r="F99" s="284">
        <f t="shared" si="9"/>
        <v>0</v>
      </c>
      <c r="G99" s="285"/>
      <c r="H99" s="129"/>
      <c r="I99" s="129"/>
      <c r="J99" s="129"/>
      <c r="K99" s="12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2.75" customHeight="1">
      <c r="A100" s="143" t="s">
        <v>76</v>
      </c>
      <c r="B100" s="144"/>
      <c r="C100" s="108">
        <f>[1]!SummAdjacentWaysPY</f>
        <v>0</v>
      </c>
      <c r="D100" s="108">
        <f>[1]!SummAdjacentWaysBY</f>
        <v>0</v>
      </c>
      <c r="E100" s="110">
        <f t="shared" si="8"/>
        <v>0</v>
      </c>
      <c r="F100" s="284">
        <f t="shared" si="9"/>
        <v>0</v>
      </c>
      <c r="G100" s="285"/>
      <c r="H100" s="129"/>
      <c r="I100" s="129"/>
      <c r="J100" s="129"/>
      <c r="K100" s="129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2.75" customHeight="1">
      <c r="A101" s="143" t="s">
        <v>77</v>
      </c>
      <c r="B101" s="144"/>
      <c r="C101" s="108">
        <f>[1]!SummDebtServicePY</f>
        <v>7822813</v>
      </c>
      <c r="D101" s="108">
        <f>[1]!SumDebtServiceBY</f>
        <v>8174150</v>
      </c>
      <c r="E101" s="110">
        <f t="shared" si="8"/>
        <v>351337</v>
      </c>
      <c r="F101" s="284">
        <f t="shared" si="9"/>
        <v>4.4911849484322329E-2</v>
      </c>
      <c r="G101" s="285"/>
      <c r="H101" s="129"/>
      <c r="I101" s="129"/>
      <c r="J101" s="129"/>
      <c r="K101" s="129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2.75" customHeight="1">
      <c r="A102" s="148" t="s">
        <v>78</v>
      </c>
      <c r="B102" s="57"/>
      <c r="C102" s="114">
        <f>[1]!SummSchoolPlantPY</f>
        <v>766000</v>
      </c>
      <c r="D102" s="108">
        <f>[1]!SummSchoolPlantBY</f>
        <v>766000</v>
      </c>
      <c r="E102" s="110">
        <f t="shared" si="8"/>
        <v>0</v>
      </c>
      <c r="F102" s="284">
        <f t="shared" si="9"/>
        <v>0</v>
      </c>
      <c r="G102" s="285"/>
      <c r="H102" s="129"/>
      <c r="I102" s="129"/>
      <c r="J102" s="129"/>
      <c r="K102" s="129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2.75" customHeight="1">
      <c r="A103" s="143" t="s">
        <v>79</v>
      </c>
      <c r="B103" s="144"/>
      <c r="C103" s="108">
        <f>[1]!SummAuxOpsPY</f>
        <v>30000</v>
      </c>
      <c r="D103" s="108">
        <f>[1]!SummAuxOpsBY</f>
        <v>30000</v>
      </c>
      <c r="E103" s="110">
        <f t="shared" si="8"/>
        <v>0</v>
      </c>
      <c r="F103" s="284">
        <f t="shared" si="9"/>
        <v>0</v>
      </c>
      <c r="G103" s="285"/>
      <c r="H103" s="129"/>
      <c r="I103" s="129"/>
      <c r="J103" s="129"/>
      <c r="K103" s="129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2.75" customHeight="1">
      <c r="A104" s="143" t="s">
        <v>80</v>
      </c>
      <c r="B104" s="144"/>
      <c r="C104" s="108">
        <f>[1]!SummBondBuildingPY</f>
        <v>30000000</v>
      </c>
      <c r="D104" s="108">
        <f>[1]!SummBondBuildingBY</f>
        <v>24600000</v>
      </c>
      <c r="E104" s="110">
        <f t="shared" si="8"/>
        <v>-5400000</v>
      </c>
      <c r="F104" s="284">
        <f t="shared" si="9"/>
        <v>-0.18</v>
      </c>
      <c r="G104" s="285"/>
      <c r="H104" s="129"/>
      <c r="I104" s="129"/>
      <c r="J104" s="129"/>
      <c r="K104" s="129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2.75" customHeight="1">
      <c r="A105" s="143" t="s">
        <v>81</v>
      </c>
      <c r="B105" s="144"/>
      <c r="C105" s="108">
        <f>[1]!SummFoodServicePY</f>
        <v>2750000</v>
      </c>
      <c r="D105" s="108">
        <f>[1]!SummFoodServiceBY</f>
        <v>2750000</v>
      </c>
      <c r="E105" s="110">
        <f t="shared" si="8"/>
        <v>0</v>
      </c>
      <c r="F105" s="284">
        <f t="shared" si="9"/>
        <v>0</v>
      </c>
      <c r="G105" s="285"/>
      <c r="H105" s="129"/>
      <c r="I105" s="129"/>
      <c r="J105" s="129"/>
      <c r="K105" s="129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12.75" customHeight="1">
      <c r="A106" s="149" t="s">
        <v>36</v>
      </c>
      <c r="B106" s="150"/>
      <c r="C106" s="114">
        <f>[1]!SummOtherPY</f>
        <v>5576500</v>
      </c>
      <c r="D106" s="114">
        <f>[1]!SummOtherBY</f>
        <v>5576500</v>
      </c>
      <c r="E106" s="113">
        <f t="shared" si="8"/>
        <v>0</v>
      </c>
      <c r="F106" s="244">
        <f t="shared" si="9"/>
        <v>0</v>
      </c>
      <c r="G106" s="245"/>
      <c r="H106" s="129"/>
      <c r="I106" s="129"/>
      <c r="J106" s="129"/>
      <c r="K106" s="129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12" customHeight="1">
      <c r="A107" s="29"/>
      <c r="B107" s="29"/>
      <c r="C107" s="29"/>
      <c r="D107" s="29"/>
      <c r="E107" s="29"/>
      <c r="F107" s="29"/>
      <c r="G107" s="29"/>
      <c r="H107" s="29"/>
      <c r="I107" s="129"/>
      <c r="J107" s="129"/>
      <c r="K107" s="129"/>
      <c r="L107" s="129"/>
      <c r="M107" s="129"/>
      <c r="N107"/>
      <c r="O107"/>
      <c r="P107"/>
      <c r="Q107"/>
      <c r="R107"/>
      <c r="S107"/>
      <c r="T107"/>
      <c r="U107"/>
      <c r="V107"/>
      <c r="W107"/>
      <c r="X107"/>
    </row>
    <row r="108" spans="1:24" ht="13.5" customHeight="1">
      <c r="A108" s="322" t="s">
        <v>82</v>
      </c>
      <c r="B108" s="323"/>
      <c r="C108" s="323"/>
      <c r="D108" s="323"/>
      <c r="E108" s="324"/>
      <c r="F108"/>
      <c r="G108"/>
      <c r="H108"/>
      <c r="I108"/>
      <c r="J108"/>
      <c r="K108"/>
      <c r="L108"/>
      <c r="M108" s="129"/>
      <c r="N108"/>
      <c r="O108"/>
      <c r="P108"/>
      <c r="Q108"/>
      <c r="R108"/>
      <c r="S108"/>
      <c r="T108"/>
      <c r="U108"/>
      <c r="V108"/>
      <c r="W108"/>
      <c r="X108"/>
    </row>
    <row r="109" spans="1:24" ht="13.5" thickBot="1">
      <c r="A109" s="319" t="s">
        <v>84</v>
      </c>
      <c r="B109" s="320"/>
      <c r="C109" s="321"/>
      <c r="D109" s="132" t="s">
        <v>39</v>
      </c>
      <c r="E109" s="132" t="s">
        <v>31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 s="52" t="s">
        <v>85</v>
      </c>
      <c r="B110" s="151"/>
      <c r="C110" s="152"/>
      <c r="D110" s="153">
        <f>[1]!SummAllDisabilityPY</f>
        <v>4442000</v>
      </c>
      <c r="E110" s="153">
        <f>[1]!SummAllDisabilityBY</f>
        <v>4115000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>
      <c r="A111" s="143" t="s">
        <v>87</v>
      </c>
      <c r="B111" s="154"/>
      <c r="C111" s="122"/>
      <c r="D111" s="112">
        <f>[1]!SummGiftedPY</f>
        <v>500000</v>
      </c>
      <c r="E111" s="112">
        <f>[1]!SummGiftedBY</f>
        <v>5000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 s="143" t="s">
        <v>89</v>
      </c>
      <c r="B112" s="154"/>
      <c r="C112" s="122"/>
      <c r="D112" s="112">
        <f>[1]!SummRemedialPY</f>
        <v>0</v>
      </c>
      <c r="E112" s="112">
        <f>[1]!SummRemedialBY</f>
        <v>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>
      <c r="A113" s="155" t="s">
        <v>91</v>
      </c>
      <c r="B113" s="137"/>
      <c r="C113" s="122"/>
      <c r="D113" s="112">
        <f>[1]!SummELLIncrementalPY</f>
        <v>0</v>
      </c>
      <c r="E113" s="112">
        <f>[1]!SummELLIncrementalBY</f>
        <v>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>
      <c r="A114" s="155" t="s">
        <v>92</v>
      </c>
      <c r="B114" s="137"/>
      <c r="C114" s="122"/>
      <c r="D114" s="112">
        <f>[1]!SPEDELLCompInstrCurrFY</f>
        <v>0</v>
      </c>
      <c r="E114" s="112">
        <f>[1]!SummELLCompInstBY</f>
        <v>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>
      <c r="A115" s="143" t="s">
        <v>118</v>
      </c>
      <c r="B115" s="154"/>
      <c r="C115" s="122"/>
      <c r="D115" s="112">
        <f>[1]!SummVocandTechEdPY</f>
        <v>0</v>
      </c>
      <c r="E115" s="112">
        <f>[1]!SummVocandTechEdBY</f>
        <v>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>
      <c r="A116" s="143" t="s">
        <v>120</v>
      </c>
      <c r="B116" s="154"/>
      <c r="C116" s="122"/>
      <c r="D116" s="114">
        <f>[1]!SummCareerEdPY</f>
        <v>0</v>
      </c>
      <c r="E116" s="114">
        <f>[1]!SummCareerEdBY</f>
        <v>0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3.5" thickBot="1">
      <c r="A117" s="155" t="s">
        <v>119</v>
      </c>
      <c r="B117" s="137"/>
      <c r="C117" s="122"/>
      <c r="D117" s="156">
        <f>[1]!SummCTEDPY</f>
        <v>0</v>
      </c>
      <c r="E117" s="156">
        <f>[1]!SummCTEDBY</f>
        <v>0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13.5" thickBot="1">
      <c r="A118" s="157" t="s">
        <v>95</v>
      </c>
      <c r="B118" s="158"/>
      <c r="C118" s="159"/>
      <c r="D118" s="160">
        <f>[1]!SummSpecEdTotalPY</f>
        <v>4942000</v>
      </c>
      <c r="E118" s="160">
        <f>[1]!SummSpecEdTotalBY</f>
        <v>4120000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12" customHeight="1" thickTop="1">
      <c r="A119" s="23"/>
      <c r="B119" s="23"/>
      <c r="C119" s="23"/>
      <c r="D119" s="23"/>
      <c r="E119" s="126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>
      <c r="A120" s="314" t="s">
        <v>83</v>
      </c>
      <c r="B120" s="315"/>
      <c r="C120" s="315"/>
      <c r="D120" s="315"/>
      <c r="E120" s="315"/>
      <c r="F120" s="315"/>
      <c r="G120" s="315"/>
      <c r="H120" s="315"/>
      <c r="I120" s="31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42.75">
      <c r="A121" s="318" t="s">
        <v>86</v>
      </c>
      <c r="B121" s="318"/>
      <c r="C121" s="318"/>
      <c r="D121" s="161" t="s">
        <v>129</v>
      </c>
      <c r="E121" s="1" t="s">
        <v>122</v>
      </c>
      <c r="F121" s="317" t="s">
        <v>123</v>
      </c>
      <c r="G121" s="317"/>
      <c r="H121" s="318" t="s">
        <v>121</v>
      </c>
      <c r="I121" s="318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>
      <c r="A122" s="143" t="s">
        <v>88</v>
      </c>
      <c r="C122" s="154"/>
      <c r="D122"/>
      <c r="E122"/>
      <c r="F122"/>
      <c r="G122" s="30"/>
      <c r="H122" s="162"/>
      <c r="I122" s="16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43" t="s">
        <v>124</v>
      </c>
      <c r="C123" s="29"/>
      <c r="D123" s="164">
        <f>[1]!ContractFTEAdmin</f>
        <v>0</v>
      </c>
      <c r="E123" s="164">
        <f>[1]!EmployeeFTEAdmin</f>
        <v>12</v>
      </c>
      <c r="F123" s="313">
        <f>[1]!TotalFTEAdmin</f>
        <v>12</v>
      </c>
      <c r="G123" s="313"/>
      <c r="H123" s="165" t="s">
        <v>90</v>
      </c>
      <c r="I123" s="166">
        <f>[1]!RatioAdmin</f>
        <v>186.4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>
      <c r="A124" s="143" t="s">
        <v>93</v>
      </c>
      <c r="C124" s="29"/>
      <c r="D124" s="164">
        <f>[1]!ContractFTETeachers</f>
        <v>0</v>
      </c>
      <c r="E124" s="164">
        <f>[1]!EmployeeFTETeachers</f>
        <v>172</v>
      </c>
      <c r="F124" s="313">
        <f>[1]!TotalFTETeachers</f>
        <v>172</v>
      </c>
      <c r="G124" s="313"/>
      <c r="H124" s="167" t="s">
        <v>90</v>
      </c>
      <c r="I124" s="166">
        <f>[1]!RatioTeachers</f>
        <v>13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>
      <c r="A125" s="143" t="s">
        <v>36</v>
      </c>
      <c r="C125" s="29"/>
      <c r="D125" s="164">
        <f>[1]!ContractFTECertOther</f>
        <v>0</v>
      </c>
      <c r="E125" s="164">
        <f>[1]!EmployeeFTECertOther</f>
        <v>19</v>
      </c>
      <c r="F125" s="313">
        <f>[1]!TotalFTECertOther</f>
        <v>19</v>
      </c>
      <c r="G125" s="313"/>
      <c r="H125" s="167" t="s">
        <v>90</v>
      </c>
      <c r="I125" s="166">
        <f>[1]!RatioCertOther</f>
        <v>117.7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>
      <c r="A126" s="168" t="s">
        <v>127</v>
      </c>
      <c r="D126" s="164">
        <f>[1]!ContractFTECertSubtotal</f>
        <v>0</v>
      </c>
      <c r="E126" s="164">
        <f>[1]!EmployeeFTECertSubtotal</f>
        <v>203</v>
      </c>
      <c r="F126" s="313">
        <f>[1]!TotalFTECertSubtotal</f>
        <v>203</v>
      </c>
      <c r="G126" s="313"/>
      <c r="H126" s="167" t="s">
        <v>90</v>
      </c>
      <c r="I126" s="166">
        <f>[1]!RatioCertSubtotal</f>
        <v>11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>
      <c r="A127" s="143" t="s">
        <v>94</v>
      </c>
      <c r="C127" s="154"/>
      <c r="D127" s="57"/>
      <c r="E127" s="57"/>
      <c r="F127" s="311"/>
      <c r="G127" s="311"/>
      <c r="H127" s="169"/>
      <c r="I127" s="16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>
      <c r="A128" s="143" t="s">
        <v>96</v>
      </c>
      <c r="C128" s="29"/>
      <c r="D128" s="164">
        <f>[1]!ContractFTEManagers</f>
        <v>0</v>
      </c>
      <c r="E128" s="164">
        <f>[1]!EmployeeFTEManagers</f>
        <v>7</v>
      </c>
      <c r="F128" s="313">
        <f>[1]!TotalFTEManagers</f>
        <v>7</v>
      </c>
      <c r="G128" s="313"/>
      <c r="H128" s="170" t="s">
        <v>90</v>
      </c>
      <c r="I128" s="166">
        <f>[1]!RatioManagers</f>
        <v>319.5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 s="143" t="s">
        <v>97</v>
      </c>
      <c r="C129" s="29"/>
      <c r="D129" s="164">
        <f>[1]!ContractFTETeachersAids</f>
        <v>0</v>
      </c>
      <c r="E129" s="164">
        <f>[1]!EmployeeFTETeachersAides</f>
        <v>40</v>
      </c>
      <c r="F129" s="313">
        <f>[1]!TotalFTETeachersAides</f>
        <v>40</v>
      </c>
      <c r="G129" s="313"/>
      <c r="H129" s="167" t="s">
        <v>90</v>
      </c>
      <c r="I129" s="166">
        <f>[1]!RatioTeachersAides</f>
        <v>55.9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 s="143" t="s">
        <v>36</v>
      </c>
      <c r="C130" s="29"/>
      <c r="D130" s="164">
        <f>[1]!ContractFTEClassOther</f>
        <v>0</v>
      </c>
      <c r="E130" s="164">
        <f>[1]!EmployeeFTEClassOther</f>
        <v>110</v>
      </c>
      <c r="F130" s="313">
        <f>[1]!TotalFTEClassOther</f>
        <v>110</v>
      </c>
      <c r="G130" s="313"/>
      <c r="H130" s="167" t="s">
        <v>90</v>
      </c>
      <c r="I130" s="166">
        <f>[1]!RatioClassOther</f>
        <v>20.3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>
      <c r="A131" s="168" t="s">
        <v>127</v>
      </c>
      <c r="D131" s="164">
        <f>[1]!ContractFTEClassSubtotal</f>
        <v>0</v>
      </c>
      <c r="E131" s="164">
        <f>[1]!EmployeeFTEClassSubtotal</f>
        <v>157</v>
      </c>
      <c r="F131" s="313">
        <f>[1]!TotalFTEClassSubtotal</f>
        <v>157</v>
      </c>
      <c r="G131" s="313"/>
      <c r="H131" s="167" t="s">
        <v>90</v>
      </c>
      <c r="I131" s="166">
        <f>[1]!RatioClassSubtotal</f>
        <v>14.2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168" t="s">
        <v>128</v>
      </c>
      <c r="D132" s="164">
        <f>[1]!ContractFTETotal</f>
        <v>0</v>
      </c>
      <c r="E132" s="164">
        <f>[1]!EmployeeFTETotal</f>
        <v>360</v>
      </c>
      <c r="F132" s="313">
        <f>[1]!TotalFTETotal</f>
        <v>360</v>
      </c>
      <c r="G132" s="313"/>
      <c r="H132" s="167" t="s">
        <v>90</v>
      </c>
      <c r="I132" s="166">
        <f>[1]!RatioTotal</f>
        <v>6.2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168"/>
      <c r="C133" s="169"/>
      <c r="D133" s="57"/>
      <c r="E133" s="57"/>
      <c r="F133" s="311"/>
      <c r="G133" s="311"/>
      <c r="H133" s="171"/>
      <c r="I133" s="172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68" t="s">
        <v>98</v>
      </c>
      <c r="C134" s="169"/>
      <c r="D134" s="57"/>
      <c r="E134" s="57"/>
      <c r="F134" s="311"/>
      <c r="G134" s="311"/>
      <c r="H134" s="171"/>
      <c r="I134" s="17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>
      <c r="A135" s="168" t="s">
        <v>99</v>
      </c>
      <c r="C135" s="154"/>
      <c r="D135" s="174">
        <f>[1]!ContractFTESpecEdTeacher</f>
        <v>0</v>
      </c>
      <c r="E135" s="174">
        <f>[1]!EmployeeFTESpecEdTeacher</f>
        <v>26</v>
      </c>
      <c r="F135" s="312">
        <f>[1]!TotalFTESpecEdTeacher</f>
        <v>26</v>
      </c>
      <c r="G135" s="312"/>
      <c r="H135" s="175" t="s">
        <v>100</v>
      </c>
      <c r="I135" s="176">
        <f>[1]!SPEDTeacher</f>
        <v>14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>
      <c r="A136" s="177" t="s">
        <v>101</v>
      </c>
      <c r="B136" s="79"/>
      <c r="C136" s="178"/>
      <c r="D136" s="174">
        <f>[1]!ContractFTESpecEdStaff</f>
        <v>0</v>
      </c>
      <c r="E136" s="174">
        <f>[1]!EmployeeFTESpecEdStaff</f>
        <v>48</v>
      </c>
      <c r="F136" s="312">
        <f>[1]!TotalFTESpecEdStaff</f>
        <v>48</v>
      </c>
      <c r="G136" s="312"/>
      <c r="H136" s="175" t="s">
        <v>100</v>
      </c>
      <c r="I136" s="179">
        <f>[1]!SPEDStaff</f>
        <v>7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</sheetData>
  <sheetProtection formatCells="0" formatColumns="0" formatRows="0"/>
  <mergeCells count="165">
    <mergeCell ref="F133:G133"/>
    <mergeCell ref="F134:G134"/>
    <mergeCell ref="F135:G135"/>
    <mergeCell ref="F136:G136"/>
    <mergeCell ref="F127:G127"/>
    <mergeCell ref="F128:G128"/>
    <mergeCell ref="F129:G129"/>
    <mergeCell ref="F101:G101"/>
    <mergeCell ref="F130:G130"/>
    <mergeCell ref="F131:G131"/>
    <mergeCell ref="F132:G132"/>
    <mergeCell ref="A120:I120"/>
    <mergeCell ref="F121:G121"/>
    <mergeCell ref="F123:G123"/>
    <mergeCell ref="F124:G124"/>
    <mergeCell ref="F125:G125"/>
    <mergeCell ref="F126:G126"/>
    <mergeCell ref="H121:I121"/>
    <mergeCell ref="A121:C121"/>
    <mergeCell ref="F102:G102"/>
    <mergeCell ref="A109:C109"/>
    <mergeCell ref="A108:E108"/>
    <mergeCell ref="K77:L77"/>
    <mergeCell ref="F98:G98"/>
    <mergeCell ref="F99:G99"/>
    <mergeCell ref="F89:G89"/>
    <mergeCell ref="F90:G90"/>
    <mergeCell ref="F91:G91"/>
    <mergeCell ref="F92:G92"/>
    <mergeCell ref="F96:G96"/>
    <mergeCell ref="F97:G97"/>
    <mergeCell ref="F80:G80"/>
    <mergeCell ref="F81:G81"/>
    <mergeCell ref="F83:G83"/>
    <mergeCell ref="K83:L83"/>
    <mergeCell ref="K82:L82"/>
    <mergeCell ref="F82:G82"/>
    <mergeCell ref="F70:G70"/>
    <mergeCell ref="F71:G71"/>
    <mergeCell ref="F72:G72"/>
    <mergeCell ref="F73:G73"/>
    <mergeCell ref="F77:G77"/>
    <mergeCell ref="F106:G106"/>
    <mergeCell ref="K71:L71"/>
    <mergeCell ref="F95:G95"/>
    <mergeCell ref="F103:G103"/>
    <mergeCell ref="F104:G104"/>
    <mergeCell ref="F105:G105"/>
    <mergeCell ref="K70:L70"/>
    <mergeCell ref="F94:G94"/>
    <mergeCell ref="F74:G74"/>
    <mergeCell ref="F75:G75"/>
    <mergeCell ref="F88:G88"/>
    <mergeCell ref="K80:L80"/>
    <mergeCell ref="K81:L81"/>
    <mergeCell ref="F76:G76"/>
    <mergeCell ref="K73:L73"/>
    <mergeCell ref="K72:L72"/>
    <mergeCell ref="K74:L74"/>
    <mergeCell ref="K75:L75"/>
    <mergeCell ref="K76:L76"/>
    <mergeCell ref="D78:D79"/>
    <mergeCell ref="E78:E79"/>
    <mergeCell ref="F100:G100"/>
    <mergeCell ref="K78:L79"/>
    <mergeCell ref="I78:I79"/>
    <mergeCell ref="K33:L33"/>
    <mergeCell ref="E25:G25"/>
    <mergeCell ref="K60:L60"/>
    <mergeCell ref="F58:G58"/>
    <mergeCell ref="F59:G59"/>
    <mergeCell ref="F60:G60"/>
    <mergeCell ref="K59:L59"/>
    <mergeCell ref="K48:L48"/>
    <mergeCell ref="K49:L49"/>
    <mergeCell ref="K50:L50"/>
    <mergeCell ref="K51:L51"/>
    <mergeCell ref="K52:L53"/>
    <mergeCell ref="K54:L55"/>
    <mergeCell ref="F50:G50"/>
    <mergeCell ref="F51:G51"/>
    <mergeCell ref="K56:L56"/>
    <mergeCell ref="K57:L57"/>
    <mergeCell ref="K58:L58"/>
    <mergeCell ref="K61:L61"/>
    <mergeCell ref="K69:L69"/>
    <mergeCell ref="F69:G69"/>
    <mergeCell ref="F65:G66"/>
    <mergeCell ref="F67:G68"/>
    <mergeCell ref="F61:G61"/>
    <mergeCell ref="F62:G62"/>
    <mergeCell ref="F63:G63"/>
    <mergeCell ref="K63:L63"/>
    <mergeCell ref="K64:L64"/>
    <mergeCell ref="F64:G64"/>
    <mergeCell ref="J67:J68"/>
    <mergeCell ref="H65:H66"/>
    <mergeCell ref="I65:I66"/>
    <mergeCell ref="J65:J66"/>
    <mergeCell ref="F52:G53"/>
    <mergeCell ref="F54:G55"/>
    <mergeCell ref="D34:D36"/>
    <mergeCell ref="J78:J79"/>
    <mergeCell ref="A86:G86"/>
    <mergeCell ref="F87:G87"/>
    <mergeCell ref="F93:G93"/>
    <mergeCell ref="D45:L46"/>
    <mergeCell ref="D52:D53"/>
    <mergeCell ref="E52:E53"/>
    <mergeCell ref="H52:H53"/>
    <mergeCell ref="I52:I53"/>
    <mergeCell ref="J52:J53"/>
    <mergeCell ref="F78:G79"/>
    <mergeCell ref="H78:H79"/>
    <mergeCell ref="A34:C36"/>
    <mergeCell ref="E34:E36"/>
    <mergeCell ref="D37:D39"/>
    <mergeCell ref="E37:E39"/>
    <mergeCell ref="A37:C39"/>
    <mergeCell ref="F35:L44"/>
    <mergeCell ref="K62:L62"/>
    <mergeCell ref="K65:L66"/>
    <mergeCell ref="K67:L68"/>
    <mergeCell ref="D54:D55"/>
    <mergeCell ref="E54:E55"/>
    <mergeCell ref="H54:H55"/>
    <mergeCell ref="I54:I55"/>
    <mergeCell ref="J54:J55"/>
    <mergeCell ref="D65:D66"/>
    <mergeCell ref="E65:E66"/>
    <mergeCell ref="D67:D68"/>
    <mergeCell ref="E67:E68"/>
    <mergeCell ref="H67:H68"/>
    <mergeCell ref="I67:I68"/>
    <mergeCell ref="F56:G56"/>
    <mergeCell ref="F57:G57"/>
    <mergeCell ref="A3:L3"/>
    <mergeCell ref="H25:J25"/>
    <mergeCell ref="E26:H26"/>
    <mergeCell ref="A16:L16"/>
    <mergeCell ref="A18:F18"/>
    <mergeCell ref="A19:L19"/>
    <mergeCell ref="A21:H21"/>
    <mergeCell ref="C9:D9"/>
    <mergeCell ref="C10:D10"/>
    <mergeCell ref="C8:I8"/>
    <mergeCell ref="C5:D5"/>
    <mergeCell ref="I5:J5"/>
    <mergeCell ref="A7:L7"/>
    <mergeCell ref="F9:I9"/>
    <mergeCell ref="F23:G23"/>
    <mergeCell ref="I14:J14"/>
    <mergeCell ref="A31:A32"/>
    <mergeCell ref="A12:L12"/>
    <mergeCell ref="C13:D13"/>
    <mergeCell ref="I13:J13"/>
    <mergeCell ref="B23:D23"/>
    <mergeCell ref="B25:D25"/>
    <mergeCell ref="K21:L21"/>
    <mergeCell ref="K22:L22"/>
    <mergeCell ref="E27:H27"/>
    <mergeCell ref="K30:L30"/>
    <mergeCell ref="K31:L31"/>
    <mergeCell ref="K32:L32"/>
    <mergeCell ref="C14:D14"/>
  </mergeCells>
  <dataValidations xWindow="730" yWindow="350" count="2">
    <dataValidation type="decimal" operator="greaterThanOrEqual" allowBlank="1" showInputMessage="1" showErrorMessage="1" errorTitle="Error" error="Value must be a number." sqref="C32:E32" xr:uid="{00000000-0002-0000-0000-000000000000}">
      <formula1>0</formula1>
    </dataValidation>
    <dataValidation operator="notEqual" allowBlank="1" showInputMessage="1" showErrorMessage="1" promptTitle="Time" prompt="Please enter time including AM/PM" sqref="H5:I5" xr:uid="{00000000-0002-0000-0000-000001000000}"/>
  </dataValidations>
  <hyperlinks>
    <hyperlink ref="A29" r:id="rId1" display="1.  Student Count" xr:uid="{00000000-0004-0000-0000-000000000000}"/>
    <hyperlink ref="C14" r:id="rId2" xr:uid="{FBF9577C-B848-4605-9DBA-C77BC0A9F10A}"/>
  </hyperlinks>
  <printOptions horizontalCentered="1"/>
  <pageMargins left="0.25" right="0.25" top="0.25" bottom="0.25" header="0.5" footer="0.25"/>
  <pageSetup scale="89" fitToHeight="0" orientation="portrait" r:id="rId3"/>
  <headerFooter alignWithMargins="0">
    <oddFooter>&amp;L&amp;"Times New Roman,Bold"&amp;9Rev. 5/25 Arizona Department of Education and Auditor General&amp;R&amp;"Times New Roman,Bold"&amp;9Page &amp;P of &amp;N</oddFooter>
  </headerFooter>
  <rowBreaks count="2" manualBreakCount="2">
    <brk id="19" max="16383" man="1"/>
    <brk id="84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4F38B-0799-4886-B61C-8DBB46B47F73}">
  <ds:schemaRefs>
    <ds:schemaRef ds:uri="http://purl.org/dc/terms/"/>
    <ds:schemaRef ds:uri="87488a3f-9ace-46de-933a-7899c85ffeab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73d57025-ee5d-49b6-a60b-7d33184acc8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69ac7c7-1a2e-46bd-a988-685139f8f258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73d57025-ee5d-49b6-a60b-7d33184acc89"/>
    <ds:schemaRef ds:uri="http://schemas.microsoft.com/office/infopath/2007/PartnerControls"/>
    <ds:schemaRef ds:uri="http://schemas.openxmlformats.org/package/2006/metadata/core-properties"/>
    <ds:schemaRef ds:uri="f69ac7c7-1a2e-46bd-a988-685139f8f258"/>
    <ds:schemaRef ds:uri="87488a3f-9ace-46de-933a-7899c85ffeab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Notice</vt:lpstr>
      <vt:lpstr>BudgetYearADM</vt:lpstr>
      <vt:lpstr>Notice!Print_Area</vt:lpstr>
      <vt:lpstr>PriorYearADM</vt:lpstr>
      <vt:lpstr>SPEDStaff</vt:lpstr>
      <vt:lpstr>SPEDTeacher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Colleen Mccabe</cp:lastModifiedBy>
  <cp:lastPrinted>2025-05-08T08:29:45Z</cp:lastPrinted>
  <dcterms:created xsi:type="dcterms:W3CDTF">2006-05-13T23:29:21Z</dcterms:created>
  <dcterms:modified xsi:type="dcterms:W3CDTF">2025-06-23T17:46:34Z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2026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ADEGUID">
    <vt:lpwstr>8D7C3252-E617-4E35-A9E7-BBF382F943AB</vt:lpwstr>
  </property>
  <property fmtid="{D5CDD505-2E9C-101B-9397-08002B2CF9AE}" pid="7" name="ContentTypeId">
    <vt:lpwstr>0x010100740A7E3807644E4DA70E0D6B717B683A</vt:lpwstr>
  </property>
  <property fmtid="{D5CDD505-2E9C-101B-9397-08002B2CF9AE}" pid="8" name="MediaServiceImageTags">
    <vt:lpwstr/>
  </property>
</Properties>
</file>